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indabgroup-my.sharepoint.com/personal/sabrina_ziel_lindab_com/Documents/Desktop/Webshop/"/>
    </mc:Choice>
  </mc:AlternateContent>
  <xr:revisionPtr revIDLastSave="0" documentId="8_{24B4F0FE-AB51-4BA0-B035-CBB4FB904C84}" xr6:coauthVersionLast="47" xr6:coauthVersionMax="47" xr10:uidLastSave="{00000000-0000-0000-0000-000000000000}"/>
  <bookViews>
    <workbookView xWindow="-120" yWindow="-120" windowWidth="29040" windowHeight="15840" tabRatio="795" activeTab="2" xr2:uid="{00000000-000D-0000-FFFF-FFFF00000000}"/>
  </bookViews>
  <sheets>
    <sheet name="Language" sheetId="14" r:id="rId1"/>
    <sheet name="Lydberegning" sheetId="16" state="veryHidden" r:id="rId2"/>
    <sheet name="VSR-Dimensionerung" sheetId="8" r:id="rId3"/>
    <sheet name="Teori" sheetId="12" state="veryHidden" r:id="rId4"/>
    <sheet name="ventiduct-parameter" sheetId="9" state="veryHidden" r:id="rId5"/>
    <sheet name="Beregning ex1-3" sheetId="10" state="veryHidden" r:id="rId6"/>
    <sheet name="Lyd" sheetId="11" state="veryHidden" r:id="rId7"/>
  </sheets>
  <definedNames>
    <definedName name="_xlnm.Print_Area" localSheetId="2">'VSR-Dimensionerung'!$B$2:$O$57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8" l="1"/>
  <c r="L11" i="8" l="1"/>
  <c r="C48" i="8"/>
  <c r="F18" i="8"/>
  <c r="G16" i="8"/>
  <c r="C16" i="8" l="1"/>
  <c r="G6" i="9"/>
  <c r="G5" i="9"/>
  <c r="G4" i="9"/>
  <c r="C10" i="8"/>
  <c r="I25" i="8"/>
  <c r="F22" i="8"/>
  <c r="I43" i="8"/>
  <c r="I34" i="8"/>
  <c r="I26" i="8"/>
  <c r="A15" i="9"/>
  <c r="A14" i="9"/>
  <c r="A13" i="9"/>
  <c r="A12" i="9"/>
  <c r="A11" i="9"/>
  <c r="A10" i="9"/>
  <c r="E13" i="10"/>
  <c r="D13" i="10"/>
  <c r="F13" i="10"/>
  <c r="D25" i="10"/>
  <c r="D9" i="10"/>
  <c r="D15" i="10" s="1"/>
  <c r="K3" i="10" s="1"/>
  <c r="F9" i="10"/>
  <c r="F15" i="10" s="1"/>
  <c r="M3" i="10" s="1"/>
  <c r="E9" i="10"/>
  <c r="E15" i="10" s="1"/>
  <c r="L3" i="10" s="1"/>
  <c r="F27" i="10"/>
  <c r="F31" i="10" s="1"/>
  <c r="M6" i="10" s="1"/>
  <c r="E27" i="10"/>
  <c r="E31" i="10" s="1"/>
  <c r="L6" i="10" s="1"/>
  <c r="D27" i="10"/>
  <c r="D31" i="10" s="1"/>
  <c r="K6" i="10" s="1"/>
  <c r="F25" i="10"/>
  <c r="E25" i="10"/>
  <c r="L7" i="9"/>
  <c r="F3" i="10" s="1"/>
  <c r="L10" i="9"/>
  <c r="F5" i="10" s="1"/>
  <c r="L11" i="9"/>
  <c r="F6" i="10" s="1"/>
  <c r="L9" i="9"/>
  <c r="F4" i="10" s="1"/>
  <c r="E9" i="9"/>
  <c r="J10" i="9"/>
  <c r="D5" i="10" s="1"/>
  <c r="F9" i="9"/>
  <c r="J11" i="9" s="1"/>
  <c r="D6" i="10" s="1"/>
  <c r="D16" i="10" s="1"/>
  <c r="J9" i="9"/>
  <c r="D4" i="10" s="1"/>
  <c r="K7" i="9"/>
  <c r="E3" i="10" s="1"/>
  <c r="K10" i="9"/>
  <c r="E5" i="10" s="1"/>
  <c r="K11" i="9"/>
  <c r="E6" i="10" s="1"/>
  <c r="K9" i="9"/>
  <c r="E4" i="10" s="1"/>
  <c r="J7" i="9"/>
  <c r="D3" i="10" s="1"/>
  <c r="F26" i="9"/>
  <c r="F2" i="10" s="1"/>
  <c r="N23" i="8"/>
  <c r="N16" i="8" s="1"/>
  <c r="M23" i="8"/>
  <c r="M16" i="8" s="1"/>
  <c r="L23" i="8"/>
  <c r="L16" i="8" s="1"/>
  <c r="L16" i="9"/>
  <c r="L17" i="9" s="1"/>
  <c r="L14" i="9"/>
  <c r="K14" i="9"/>
  <c r="J17" i="8"/>
  <c r="C15" i="8"/>
  <c r="C7" i="8"/>
  <c r="D10" i="8"/>
  <c r="C43" i="8"/>
  <c r="C42" i="8"/>
  <c r="C41" i="8"/>
  <c r="I39" i="8"/>
  <c r="C39" i="8"/>
  <c r="I38" i="8"/>
  <c r="C38" i="8"/>
  <c r="I37" i="8"/>
  <c r="D37" i="8"/>
  <c r="C37" i="8"/>
  <c r="I36" i="8"/>
  <c r="I35" i="8"/>
  <c r="C35" i="8"/>
  <c r="C34" i="8"/>
  <c r="I32" i="8"/>
  <c r="C31" i="8"/>
  <c r="I30" i="8"/>
  <c r="I27" i="8"/>
  <c r="C27" i="8"/>
  <c r="C26" i="8"/>
  <c r="I24" i="8"/>
  <c r="I23" i="8"/>
  <c r="C23" i="8"/>
  <c r="I22" i="8"/>
  <c r="C22" i="8"/>
  <c r="I21" i="8"/>
  <c r="I20" i="8"/>
  <c r="C20" i="8"/>
  <c r="J19" i="8"/>
  <c r="F19" i="8"/>
  <c r="C19" i="8"/>
  <c r="J18" i="8"/>
  <c r="C18" i="8"/>
  <c r="C17" i="8"/>
  <c r="I16" i="8"/>
  <c r="C11" i="8"/>
  <c r="N35" i="8"/>
  <c r="M35" i="8"/>
  <c r="L35" i="8"/>
  <c r="K35" i="8"/>
  <c r="D34" i="8"/>
  <c r="K31" i="8"/>
  <c r="K21" i="8"/>
  <c r="K20" i="8"/>
  <c r="N19" i="8"/>
  <c r="N18" i="8"/>
  <c r="G17" i="8"/>
  <c r="M19" i="8"/>
  <c r="M18" i="8"/>
  <c r="L19" i="8"/>
  <c r="L18" i="8"/>
  <c r="F20" i="8"/>
  <c r="M11" i="8"/>
  <c r="F28" i="8"/>
  <c r="G28" i="8"/>
  <c r="E28" i="8"/>
  <c r="L13" i="9"/>
  <c r="N24" i="8" s="1"/>
  <c r="C18" i="9"/>
  <c r="A19" i="9"/>
  <c r="E23" i="8"/>
  <c r="F10" i="11"/>
  <c r="L10" i="11" s="1"/>
  <c r="E10" i="11"/>
  <c r="K10" i="11" s="1"/>
  <c r="D10" i="11"/>
  <c r="J10" i="11" s="1"/>
  <c r="C10" i="11"/>
  <c r="I10" i="11" s="1"/>
  <c r="F9" i="11"/>
  <c r="L9" i="11" s="1"/>
  <c r="E9" i="11"/>
  <c r="K9" i="11" s="1"/>
  <c r="D9" i="11"/>
  <c r="J9" i="11" s="1"/>
  <c r="C9" i="11"/>
  <c r="I9" i="11" s="1"/>
  <c r="F8" i="11"/>
  <c r="L8" i="11" s="1"/>
  <c r="E8" i="11"/>
  <c r="K8" i="11" s="1"/>
  <c r="D8" i="11"/>
  <c r="J8" i="11" s="1"/>
  <c r="C8" i="11"/>
  <c r="I8" i="11" s="1"/>
  <c r="F7" i="11"/>
  <c r="L7" i="11" s="1"/>
  <c r="E7" i="11"/>
  <c r="K7" i="11" s="1"/>
  <c r="D7" i="11"/>
  <c r="J7" i="11" s="1"/>
  <c r="C7" i="11"/>
  <c r="I7" i="11" s="1"/>
  <c r="F6" i="11"/>
  <c r="L6" i="11" s="1"/>
  <c r="E6" i="11"/>
  <c r="K6" i="11" s="1"/>
  <c r="D6" i="11"/>
  <c r="J6" i="11" s="1"/>
  <c r="C6" i="11"/>
  <c r="I6" i="11" s="1"/>
  <c r="L24" i="11"/>
  <c r="K24" i="11"/>
  <c r="J24" i="11"/>
  <c r="I24" i="11"/>
  <c r="L23" i="11"/>
  <c r="K23" i="11"/>
  <c r="J23" i="11"/>
  <c r="I23" i="11"/>
  <c r="L22" i="11"/>
  <c r="K22" i="11"/>
  <c r="J22" i="11"/>
  <c r="I22" i="11"/>
  <c r="L21" i="11"/>
  <c r="K21" i="11"/>
  <c r="J21" i="11"/>
  <c r="I21" i="11"/>
  <c r="L20" i="11"/>
  <c r="K20" i="11"/>
  <c r="J20" i="11"/>
  <c r="I20" i="11"/>
  <c r="F12" i="11"/>
  <c r="F14" i="11" s="1"/>
  <c r="E12" i="11"/>
  <c r="D12" i="11"/>
  <c r="C12" i="11"/>
  <c r="E23" i="9"/>
  <c r="F23" i="9" s="1"/>
  <c r="F29" i="9"/>
  <c r="P9" i="9"/>
  <c r="O9" i="9"/>
  <c r="N9" i="9"/>
  <c r="E16" i="9"/>
  <c r="F16" i="9"/>
  <c r="K12" i="9" l="1"/>
  <c r="M20" i="8" s="1"/>
  <c r="L12" i="9"/>
  <c r="N20" i="8" s="1"/>
  <c r="L17" i="8"/>
  <c r="D14" i="10"/>
  <c r="K4" i="10" s="1"/>
  <c r="L25" i="8"/>
  <c r="J12" i="9"/>
  <c r="J14" i="9"/>
  <c r="J13" i="9"/>
  <c r="J16" i="9"/>
  <c r="J17" i="9" s="1"/>
  <c r="D3" i="16"/>
  <c r="G3" i="16" s="1"/>
  <c r="E22" i="8" s="1"/>
  <c r="M17" i="8"/>
  <c r="N17" i="8"/>
  <c r="K16" i="9"/>
  <c r="K17" i="9" s="1"/>
  <c r="D14" i="11"/>
  <c r="C14" i="11"/>
  <c r="K13" i="9"/>
  <c r="M24" i="8" s="1"/>
  <c r="E14" i="11"/>
  <c r="E2" i="10"/>
  <c r="M27" i="8" s="1"/>
  <c r="M28" i="8" s="1"/>
  <c r="D30" i="10"/>
  <c r="K5" i="10" s="1"/>
  <c r="D23" i="10"/>
  <c r="D7" i="16" s="1"/>
  <c r="N27" i="8"/>
  <c r="N30" i="8"/>
  <c r="F8" i="10"/>
  <c r="N21" i="8"/>
  <c r="N31" i="8"/>
  <c r="F16" i="10"/>
  <c r="F17" i="10"/>
  <c r="F18" i="10" s="1"/>
  <c r="F14" i="10"/>
  <c r="M4" i="10" s="1"/>
  <c r="F30" i="10"/>
  <c r="M5" i="10" s="1"/>
  <c r="F37" i="10"/>
  <c r="M2" i="10"/>
  <c r="F26" i="10" s="1"/>
  <c r="F23" i="10"/>
  <c r="N25" i="8"/>
  <c r="E17" i="10"/>
  <c r="E18" i="10" s="1"/>
  <c r="E16" i="10"/>
  <c r="E14" i="10"/>
  <c r="L4" i="10" s="1"/>
  <c r="E30" i="10"/>
  <c r="L5" i="10" s="1"/>
  <c r="L2" i="10"/>
  <c r="E26" i="10" s="1"/>
  <c r="E23" i="10"/>
  <c r="E37" i="10"/>
  <c r="M25" i="8"/>
  <c r="D2" i="10"/>
  <c r="D37" i="10"/>
  <c r="K2" i="10"/>
  <c r="D26" i="10" s="1"/>
  <c r="D17" i="10"/>
  <c r="D18" i="10" s="1"/>
  <c r="N22" i="8" l="1"/>
  <c r="M32" i="8"/>
  <c r="M33" i="8"/>
  <c r="L20" i="8"/>
  <c r="L24" i="8"/>
  <c r="E11" i="16"/>
  <c r="E8" i="10"/>
  <c r="M30" i="8"/>
  <c r="M21" i="8"/>
  <c r="M31" i="8"/>
  <c r="D11" i="16"/>
  <c r="F11" i="16"/>
  <c r="F28" i="10"/>
  <c r="F29" i="10" s="1"/>
  <c r="F41" i="10" s="1"/>
  <c r="G42" i="8" s="1"/>
  <c r="L31" i="8"/>
  <c r="D8" i="10"/>
  <c r="L21" i="8"/>
  <c r="L30" i="8"/>
  <c r="L27" i="8"/>
  <c r="F10" i="10"/>
  <c r="M22" i="10" s="1"/>
  <c r="F19" i="10"/>
  <c r="F35" i="10" s="1"/>
  <c r="F36" i="10" s="1"/>
  <c r="M8" i="10" s="1"/>
  <c r="F21" i="10"/>
  <c r="N33" i="8"/>
  <c r="N32" i="8"/>
  <c r="N28" i="8"/>
  <c r="K10" i="10"/>
  <c r="L10" i="10"/>
  <c r="M10" i="10"/>
  <c r="M18" i="10"/>
  <c r="M15" i="10"/>
  <c r="M16" i="10" s="1"/>
  <c r="F22" i="10" l="1"/>
  <c r="F40" i="10" s="1"/>
  <c r="M12" i="10" s="1"/>
  <c r="M11" i="10"/>
  <c r="E10" i="10"/>
  <c r="L22" i="10" s="1"/>
  <c r="E21" i="10"/>
  <c r="E19" i="10"/>
  <c r="E28" i="10" s="1"/>
  <c r="E29" i="10" s="1"/>
  <c r="E32" i="10" s="1"/>
  <c r="L15" i="10"/>
  <c r="L16" i="10" s="1"/>
  <c r="M22" i="8"/>
  <c r="L18" i="10"/>
  <c r="M37" i="8" s="1"/>
  <c r="F32" i="10"/>
  <c r="L33" i="8"/>
  <c r="L28" i="8"/>
  <c r="L32" i="8"/>
  <c r="K18" i="10"/>
  <c r="K15" i="10"/>
  <c r="K16" i="10" s="1"/>
  <c r="L22" i="8"/>
  <c r="M19" i="10"/>
  <c r="N38" i="8" s="1"/>
  <c r="M23" i="10"/>
  <c r="M24" i="10" s="1"/>
  <c r="N43" i="8" s="1"/>
  <c r="N36" i="8"/>
  <c r="D10" i="10"/>
  <c r="K22" i="10" s="1"/>
  <c r="D19" i="10"/>
  <c r="D28" i="10" s="1"/>
  <c r="D29" i="10" s="1"/>
  <c r="D41" i="10" s="1"/>
  <c r="D21" i="10"/>
  <c r="N37" i="8"/>
  <c r="L11" i="10" l="1"/>
  <c r="E41" i="10"/>
  <c r="E35" i="10"/>
  <c r="E36" i="10" s="1"/>
  <c r="L8" i="10" s="1"/>
  <c r="E22" i="10"/>
  <c r="E40" i="10" s="1"/>
  <c r="D32" i="10"/>
  <c r="D39" i="10" s="1"/>
  <c r="K11" i="10"/>
  <c r="D22" i="10"/>
  <c r="D40" i="10" s="1"/>
  <c r="K12" i="10" s="1"/>
  <c r="D35" i="10"/>
  <c r="D36" i="10" s="1"/>
  <c r="K8" i="10" s="1"/>
  <c r="M36" i="8"/>
  <c r="L19" i="10"/>
  <c r="L23" i="10"/>
  <c r="L24" i="10" s="1"/>
  <c r="M43" i="8" s="1"/>
  <c r="M9" i="10"/>
  <c r="F39" i="10"/>
  <c r="M20" i="10"/>
  <c r="N39" i="8" s="1"/>
  <c r="F13" i="16" s="1"/>
  <c r="L9" i="10"/>
  <c r="E39" i="10"/>
  <c r="K19" i="10"/>
  <c r="K23" i="10"/>
  <c r="K24" i="10" s="1"/>
  <c r="L36" i="8"/>
  <c r="L37" i="8"/>
  <c r="F42" i="8" l="1"/>
  <c r="L12" i="10"/>
  <c r="L38" i="8"/>
  <c r="L43" i="8"/>
  <c r="E42" i="8"/>
  <c r="G43" i="8"/>
  <c r="K9" i="10"/>
  <c r="L20" i="10"/>
  <c r="M39" i="8" s="1"/>
  <c r="E13" i="16" s="1"/>
  <c r="M38" i="8"/>
  <c r="K20" i="10"/>
  <c r="L39" i="8" l="1"/>
  <c r="D13" i="16" s="1"/>
  <c r="F43" i="8"/>
  <c r="E43" i="8" l="1"/>
</calcChain>
</file>

<file path=xl/sharedStrings.xml><?xml version="1.0" encoding="utf-8"?>
<sst xmlns="http://schemas.openxmlformats.org/spreadsheetml/2006/main" count="643" uniqueCount="537">
  <si>
    <t>dT</t>
  </si>
  <si>
    <t>W/m</t>
  </si>
  <si>
    <t>DN</t>
  </si>
  <si>
    <t>Alpha</t>
  </si>
  <si>
    <t>Mønster</t>
  </si>
  <si>
    <t>90°</t>
  </si>
  <si>
    <t>2x90°</t>
  </si>
  <si>
    <t>180°</t>
  </si>
  <si>
    <t>270°</t>
  </si>
  <si>
    <t>300°</t>
  </si>
  <si>
    <t>Dimension</t>
  </si>
  <si>
    <t>variabel</t>
  </si>
  <si>
    <t>Retning</t>
  </si>
  <si>
    <t>opad</t>
  </si>
  <si>
    <t>nedad</t>
  </si>
  <si>
    <t>vandret</t>
  </si>
  <si>
    <t>Rum</t>
  </si>
  <si>
    <t>Længde</t>
  </si>
  <si>
    <t>Højde</t>
  </si>
  <si>
    <t>Ventilation</t>
  </si>
  <si>
    <t>m3/h</t>
  </si>
  <si>
    <t>Volumenstrøm (total)</t>
  </si>
  <si>
    <t>Antal rør</t>
  </si>
  <si>
    <t>Længde pr. rør</t>
  </si>
  <si>
    <t>K</t>
  </si>
  <si>
    <t>Køling total</t>
  </si>
  <si>
    <t>Q/L</t>
  </si>
  <si>
    <t>W</t>
  </si>
  <si>
    <t>Ex1</t>
  </si>
  <si>
    <t>Ex2</t>
  </si>
  <si>
    <t>Ex3</t>
  </si>
  <si>
    <t>m</t>
  </si>
  <si>
    <t>Luftskifte</t>
  </si>
  <si>
    <t>1/h</t>
  </si>
  <si>
    <t>Alpha_ges</t>
  </si>
  <si>
    <t>q/L_max</t>
  </si>
  <si>
    <t>ex1</t>
  </si>
  <si>
    <t>ex2</t>
  </si>
  <si>
    <t>ex3</t>
  </si>
  <si>
    <t>alpha_ges</t>
  </si>
  <si>
    <t>alpha_kast</t>
  </si>
  <si>
    <t>v_term</t>
  </si>
  <si>
    <t>afstand loft</t>
  </si>
  <si>
    <t>h</t>
  </si>
  <si>
    <t>k_loft</t>
  </si>
  <si>
    <t>k_dt</t>
  </si>
  <si>
    <t>k_alpha</t>
  </si>
  <si>
    <t>Lo</t>
  </si>
  <si>
    <t>v_lo</t>
  </si>
  <si>
    <t>vo</t>
  </si>
  <si>
    <t>v_ned</t>
  </si>
  <si>
    <t>X-variabel</t>
  </si>
  <si>
    <t>X-opholdszone</t>
  </si>
  <si>
    <t>Opholdszone</t>
  </si>
  <si>
    <t xml:space="preserve">Strålelængde til opholdszone </t>
  </si>
  <si>
    <t>X_ned</t>
  </si>
  <si>
    <t>v_iso_ned_Xned</t>
  </si>
  <si>
    <t>v_x_ned</t>
  </si>
  <si>
    <t>fristråle-afstand X_fri</t>
  </si>
  <si>
    <t>v_x_iso_oph</t>
  </si>
  <si>
    <t>v_x_opholdszone</t>
  </si>
  <si>
    <t>v_x_iso_var</t>
  </si>
  <si>
    <t>v_x_var</t>
  </si>
  <si>
    <t>v_x_fristråle</t>
  </si>
  <si>
    <t>v_stråle</t>
  </si>
  <si>
    <t>v_max_vandret</t>
  </si>
  <si>
    <t>Resultat</t>
  </si>
  <si>
    <t>(areal)</t>
  </si>
  <si>
    <t>(længde)</t>
  </si>
  <si>
    <t>Bredde</t>
  </si>
  <si>
    <t>v_x_op_stråler</t>
  </si>
  <si>
    <t>k_loft_op</t>
  </si>
  <si>
    <t>v_str_op</t>
  </si>
  <si>
    <t>v_op</t>
  </si>
  <si>
    <t>k_afstand_op</t>
  </si>
  <si>
    <t>Lo+DN/400</t>
  </si>
  <si>
    <t>k_afstand-op</t>
  </si>
  <si>
    <t>k_afstand_op &lt;1</t>
  </si>
  <si>
    <t>Afstand mellem rør eller B/n</t>
  </si>
  <si>
    <t>v_dt_ned</t>
  </si>
  <si>
    <t>91*log(alpha)</t>
  </si>
  <si>
    <t>L-L_300</t>
  </si>
  <si>
    <t>max længde</t>
  </si>
  <si>
    <t>Lyd</t>
  </si>
  <si>
    <t>L-maks</t>
  </si>
  <si>
    <t>Flow pr. rør</t>
  </si>
  <si>
    <t>max kanalhastighed</t>
  </si>
  <si>
    <t>m/s</t>
  </si>
  <si>
    <t>A_kanal</t>
  </si>
  <si>
    <t>dyser</t>
  </si>
  <si>
    <t>dB(A)</t>
  </si>
  <si>
    <t>aktuelle parameter</t>
  </si>
  <si>
    <t>parameter-udvalg</t>
  </si>
  <si>
    <t>91logDN*alph</t>
  </si>
  <si>
    <t>L_DNal</t>
  </si>
  <si>
    <t>kanal</t>
  </si>
  <si>
    <t>Lydeffekt pr. rør</t>
  </si>
  <si>
    <t>Spredning</t>
  </si>
  <si>
    <t>Strålehastighed v_x</t>
  </si>
  <si>
    <t>horizontal indblæsning</t>
  </si>
  <si>
    <t>Lo = (Alpha - 90)/90*4*DN/1000 [m]</t>
  </si>
  <si>
    <t>V</t>
  </si>
  <si>
    <t>L</t>
  </si>
  <si>
    <t>Rørlængde</t>
  </si>
  <si>
    <t>mm</t>
  </si>
  <si>
    <t>X</t>
  </si>
  <si>
    <t>Strålelængde</t>
  </si>
  <si>
    <t>90 ... 360°</t>
  </si>
  <si>
    <t>(f.x. 180° ved 2x90°)</t>
  </si>
  <si>
    <t>alpha</t>
  </si>
  <si>
    <t>(f.x. 90° ved 2x90°)</t>
  </si>
  <si>
    <t>k_alpha=-0,0001*alpha^2-0,0033*alpha+16,2</t>
  </si>
  <si>
    <t>k_loft = 1,1 - 0,1*h/(2,5*DN)</t>
  </si>
  <si>
    <t>hvis h &lt;= 2,5 DN</t>
  </si>
  <si>
    <t>(forøget kastelængde p.g.a. loftet)</t>
  </si>
  <si>
    <t>k_loft = 1</t>
  </si>
  <si>
    <t>hvis h &gt;2,5 DN</t>
  </si>
  <si>
    <t>(fristråle)</t>
  </si>
  <si>
    <t>k_dt = 1 + 0,04*dT</t>
  </si>
  <si>
    <t>temperaturindflydelse ved køling</t>
  </si>
  <si>
    <t>dyseareal = 1,59 E-05 m2</t>
  </si>
  <si>
    <t>antal dyser = alpha*DN*L*0,00536</t>
  </si>
  <si>
    <t xml:space="preserve">indblæsningshastighed </t>
  </si>
  <si>
    <t>v_o = V/(L*alpha*DN*0,000307)</t>
  </si>
  <si>
    <t>vertikal indblæsning nedad</t>
  </si>
  <si>
    <t>Indblæsning opad</t>
  </si>
  <si>
    <t>Termisk hastighed v_term</t>
  </si>
  <si>
    <t>hvis X &gt; Lo + DN/400</t>
  </si>
  <si>
    <t>hvis X &lt; Lo + DN/400</t>
  </si>
  <si>
    <t>k_afstand_op = 1,6 - B*0,2</t>
  </si>
  <si>
    <t>v_term = 0,00013*dT^0,5*(DN*alpha)^0,6 * k_afstand_op</t>
  </si>
  <si>
    <t>v_x_ned = v_x_iso + v_ned</t>
  </si>
  <si>
    <t>v_x_op = v_x_vandret * k_loft_op</t>
  </si>
  <si>
    <t>v_max = max(v_term, v_x)</t>
  </si>
  <si>
    <t>v_x_iso med direkt afstand</t>
  </si>
  <si>
    <t>v_max = max(v_term, v_x_op)</t>
  </si>
  <si>
    <t>dansk</t>
  </si>
  <si>
    <t>english</t>
  </si>
  <si>
    <t>deutsch</t>
  </si>
  <si>
    <t>Air flow pattern</t>
  </si>
  <si>
    <t>Düsenmuster</t>
  </si>
  <si>
    <t>Luftrichtung</t>
  </si>
  <si>
    <t>Lüftung</t>
  </si>
  <si>
    <t>Air flow rate (total)</t>
  </si>
  <si>
    <t>Volumenstrom total</t>
  </si>
  <si>
    <t>Temperature difference</t>
  </si>
  <si>
    <t xml:space="preserve">Untertemperatur </t>
  </si>
  <si>
    <t>Anzahl Ventiduct</t>
  </si>
  <si>
    <t>Length Ventiduct</t>
  </si>
  <si>
    <t>Check maximum-flow pr. m</t>
  </si>
  <si>
    <t>Total Length Ventiduct</t>
  </si>
  <si>
    <t>Gesamtlänge Ventiduct</t>
  </si>
  <si>
    <t>Länge pr. Ventiduct</t>
  </si>
  <si>
    <t>Air flow pr. m Ventiduct</t>
  </si>
  <si>
    <t>Check (Length)</t>
  </si>
  <si>
    <t>Kontrolle max. Länge</t>
  </si>
  <si>
    <t>Distance between ventiduct</t>
  </si>
  <si>
    <t>Abstand zwischen den Rohren</t>
  </si>
  <si>
    <t xml:space="preserve">Fläche </t>
  </si>
  <si>
    <t xml:space="preserve">Breite </t>
  </si>
  <si>
    <t>Ergebnis</t>
  </si>
  <si>
    <t>Result</t>
  </si>
  <si>
    <t>Room</t>
  </si>
  <si>
    <t>Length</t>
  </si>
  <si>
    <t xml:space="preserve">Width </t>
  </si>
  <si>
    <t>Height</t>
  </si>
  <si>
    <t>Höhe</t>
  </si>
  <si>
    <t>Occupied zone (height)</t>
  </si>
  <si>
    <t>Höhe des Aufenthaltsbereiches</t>
  </si>
  <si>
    <t>Thermal parameters</t>
  </si>
  <si>
    <t>Thermische Parameter</t>
  </si>
  <si>
    <t>Cooling effekt</t>
  </si>
  <si>
    <t>air flow pr. area</t>
  </si>
  <si>
    <t>Kühlleistung total</t>
  </si>
  <si>
    <t>Luftwechsel</t>
  </si>
  <si>
    <t>Volumenstrom pr. Fläche</t>
  </si>
  <si>
    <t>Volumenstrom pr. Länge</t>
  </si>
  <si>
    <t>Volumenstrom pro Rohr</t>
  </si>
  <si>
    <t>Düsen</t>
  </si>
  <si>
    <t>Kanal</t>
  </si>
  <si>
    <t>upwards</t>
  </si>
  <si>
    <t>downwards</t>
  </si>
  <si>
    <t>sidewards</t>
  </si>
  <si>
    <t>nach oben</t>
  </si>
  <si>
    <t xml:space="preserve">nach unten </t>
  </si>
  <si>
    <t>seitlich</t>
  </si>
  <si>
    <t>Acustic</t>
  </si>
  <si>
    <t>Akustik</t>
  </si>
  <si>
    <t>(bredde)</t>
  </si>
  <si>
    <t>Total rørlængde</t>
  </si>
  <si>
    <t>Kontrol maks. rørlængde</t>
  </si>
  <si>
    <t>Kontrol maks. flow pr. m</t>
  </si>
  <si>
    <t>Termiske parametre</t>
  </si>
  <si>
    <r>
      <t xml:space="preserve">Flow pr A </t>
    </r>
    <r>
      <rPr>
        <vertAlign val="subscript"/>
        <sz val="10"/>
        <rFont val="Arial"/>
        <family val="2"/>
      </rPr>
      <t>aktiv</t>
    </r>
  </si>
  <si>
    <r>
      <t>m</t>
    </r>
    <r>
      <rPr>
        <vertAlign val="superscript"/>
        <sz val="10"/>
        <rFont val="Arial"/>
        <family val="2"/>
      </rPr>
      <t>2</t>
    </r>
  </si>
  <si>
    <t>ø D 200</t>
  </si>
  <si>
    <t>ø D 250</t>
  </si>
  <si>
    <t>ø D 315</t>
  </si>
  <si>
    <t>ø D 400</t>
  </si>
  <si>
    <t>ø D 500</t>
  </si>
  <si>
    <r>
      <t>W/m</t>
    </r>
    <r>
      <rPr>
        <vertAlign val="superscript"/>
        <sz val="10"/>
        <rFont val="Arial"/>
        <family val="2"/>
      </rPr>
      <t>2</t>
    </r>
  </si>
  <si>
    <t>normal</t>
  </si>
  <si>
    <t>A-abs</t>
  </si>
  <si>
    <t>absorbtionsareal</t>
  </si>
  <si>
    <r>
      <t>A</t>
    </r>
    <r>
      <rPr>
        <vertAlign val="subscript"/>
        <sz val="10"/>
        <rFont val="Arial"/>
        <family val="2"/>
      </rPr>
      <t>abs</t>
    </r>
  </si>
  <si>
    <t>Q = 2</t>
  </si>
  <si>
    <t>(ventiduct tæt ved loftet)</t>
  </si>
  <si>
    <t>afstand til opholdszonen</t>
  </si>
  <si>
    <r>
      <t>Lp =Lw +  10*log(Q/4pi/r^2+4n/A</t>
    </r>
    <r>
      <rPr>
        <vertAlign val="subscript"/>
        <sz val="10"/>
        <rFont val="Arial"/>
        <family val="2"/>
      </rPr>
      <t>abs</t>
    </r>
    <r>
      <rPr>
        <sz val="10"/>
        <rFont val="Arial"/>
      </rPr>
      <t>)</t>
    </r>
  </si>
  <si>
    <t>Lp - Lw</t>
  </si>
  <si>
    <t>Lp</t>
  </si>
  <si>
    <t>Projekt :</t>
  </si>
  <si>
    <t>Ts</t>
  </si>
  <si>
    <t>A</t>
  </si>
  <si>
    <t>B</t>
  </si>
  <si>
    <t>C</t>
  </si>
  <si>
    <t>Undertemperatur</t>
  </si>
  <si>
    <t xml:space="preserve">Maks. hastighed </t>
  </si>
  <si>
    <t>Maks. kanalhastighed</t>
  </si>
  <si>
    <t>s</t>
  </si>
  <si>
    <t>Kontrolle max. Flow pr. m</t>
  </si>
  <si>
    <t>Flow pr. m Ventiduct</t>
  </si>
  <si>
    <t>Abstand Boden / UK Rohr</t>
  </si>
  <si>
    <t>Max. Raumluftgeschw.</t>
  </si>
  <si>
    <t>Länge  (parallel Ventiduct)</t>
  </si>
  <si>
    <t>Montagehöhe (Oberkante)</t>
  </si>
  <si>
    <t>Dimensioning Ventiduct</t>
  </si>
  <si>
    <r>
      <t>Reverberation time T</t>
    </r>
    <r>
      <rPr>
        <vertAlign val="subscript"/>
        <sz val="10"/>
        <rFont val="Arial"/>
        <family val="2"/>
      </rPr>
      <t>s</t>
    </r>
  </si>
  <si>
    <t>Room attenuation</t>
  </si>
  <si>
    <t>very deadened</t>
  </si>
  <si>
    <t>deadened</t>
  </si>
  <si>
    <t>hard</t>
  </si>
  <si>
    <t>very hard</t>
  </si>
  <si>
    <t xml:space="preserve">Total sound pressure level </t>
  </si>
  <si>
    <t>Comments</t>
  </si>
  <si>
    <t>Installation height (top)</t>
  </si>
  <si>
    <t>Date</t>
  </si>
  <si>
    <t>Projektno.</t>
  </si>
  <si>
    <t>Initials</t>
  </si>
  <si>
    <t xml:space="preserve">Result. Schalldruckpegel </t>
  </si>
  <si>
    <t xml:space="preserve">Resulterende lydtrykniveau </t>
  </si>
  <si>
    <t>Svenska</t>
  </si>
  <si>
    <t>Spridningsmönster</t>
  </si>
  <si>
    <t>Antal</t>
  </si>
  <si>
    <t>Längd pr./m rör</t>
  </si>
  <si>
    <t>Kontroll max. längd</t>
  </si>
  <si>
    <t>Total längd</t>
  </si>
  <si>
    <t>Flöde pr./ m rör</t>
  </si>
  <si>
    <t>Avstånd mellan rör</t>
  </si>
  <si>
    <t>Area</t>
  </si>
  <si>
    <t>Bredd</t>
  </si>
  <si>
    <t xml:space="preserve">Längd </t>
  </si>
  <si>
    <t>Längd</t>
  </si>
  <si>
    <t>Höjd</t>
  </si>
  <si>
    <t>Vistelsezon</t>
  </si>
  <si>
    <t>Fritt avstånd</t>
  </si>
  <si>
    <t>Termiska parameter</t>
  </si>
  <si>
    <t>Total Kyleffekt</t>
  </si>
  <si>
    <t>Luftomsättning</t>
  </si>
  <si>
    <t>Flöde pr. A-aktiv</t>
  </si>
  <si>
    <t>Ljudeffekt pr.rör</t>
  </si>
  <si>
    <t>Max kanalhastighet</t>
  </si>
  <si>
    <t>Dysor</t>
  </si>
  <si>
    <t>Uppåtgående</t>
  </si>
  <si>
    <t>Neråt</t>
  </si>
  <si>
    <t>Vågrätt</t>
  </si>
  <si>
    <t xml:space="preserve">Result. ljudtrycksnivån </t>
  </si>
  <si>
    <t>Dimensionering Ventiduct</t>
  </si>
  <si>
    <t>Dimensionering af Ventiduct</t>
  </si>
  <si>
    <t>Datum</t>
  </si>
  <si>
    <t>Initialien</t>
  </si>
  <si>
    <t>Projektnr.</t>
  </si>
  <si>
    <t>Dato</t>
  </si>
  <si>
    <t>Initialer</t>
  </si>
  <si>
    <t>Project :</t>
  </si>
  <si>
    <r>
      <t>Efterklangstid T</t>
    </r>
    <r>
      <rPr>
        <vertAlign val="subscript"/>
        <sz val="10"/>
        <rFont val="Arial"/>
        <family val="2"/>
      </rPr>
      <t>s</t>
    </r>
  </si>
  <si>
    <r>
      <t>Nachhallzeit T</t>
    </r>
    <r>
      <rPr>
        <vertAlign val="subscript"/>
        <sz val="10"/>
        <rFont val="Arial"/>
        <family val="2"/>
      </rPr>
      <t>s</t>
    </r>
  </si>
  <si>
    <t>Kommentarer</t>
  </si>
  <si>
    <t>Bemærkninger</t>
  </si>
  <si>
    <t>Enhed flow</t>
  </si>
  <si>
    <t>unit flow</t>
  </si>
  <si>
    <t>Einheit Flow</t>
  </si>
  <si>
    <t>l/s</t>
  </si>
  <si>
    <t>l/(sm)</t>
  </si>
  <si>
    <t>q/L (m3/hm)</t>
  </si>
  <si>
    <t>Raumdämpfung</t>
  </si>
  <si>
    <t>Rumdæmpning</t>
  </si>
  <si>
    <t>Rumsdämpningen</t>
  </si>
  <si>
    <t>meget dæmpet</t>
  </si>
  <si>
    <t>dæmpet</t>
  </si>
  <si>
    <t>hårdt</t>
  </si>
  <si>
    <t>meget hårdt</t>
  </si>
  <si>
    <t>sehr gedämpft</t>
  </si>
  <si>
    <t>gedämpft</t>
  </si>
  <si>
    <t>hart</t>
  </si>
  <si>
    <t>sehr hart</t>
  </si>
  <si>
    <t>mycket dämpat</t>
  </si>
  <si>
    <t>dämpat</t>
  </si>
  <si>
    <t>normalt</t>
  </si>
  <si>
    <t>hårt</t>
  </si>
  <si>
    <t>myckat hårt</t>
  </si>
  <si>
    <t>pcs.</t>
  </si>
  <si>
    <t>stk.</t>
  </si>
  <si>
    <t>area</t>
  </si>
  <si>
    <t>length</t>
  </si>
  <si>
    <t xml:space="preserve">width </t>
  </si>
  <si>
    <t>Länge</t>
  </si>
  <si>
    <t>Flöde pr. rör</t>
  </si>
  <si>
    <t>ok rör/tak i m</t>
  </si>
  <si>
    <t>Kontroll max. flow</t>
  </si>
  <si>
    <t>Nozzle pattern</t>
  </si>
  <si>
    <t>Distance floor/duct</t>
  </si>
  <si>
    <t>Air change rate</t>
  </si>
  <si>
    <t>Airflow pr. length</t>
  </si>
  <si>
    <t>Air flow rate pr. duct</t>
  </si>
  <si>
    <t>Max. velocity duct</t>
  </si>
  <si>
    <t>Sound power level pr. duct</t>
  </si>
  <si>
    <t>Max flöde pr. m Ventiduct</t>
  </si>
  <si>
    <t>Max. Flow pr. m Ventiduct</t>
  </si>
  <si>
    <t>Aktiv belüftete Raumfläche</t>
  </si>
  <si>
    <t>Max. Kanalgeschwindigkeit</t>
  </si>
  <si>
    <t>Gesamter Schalleistungspegel pr. Rohr</t>
  </si>
  <si>
    <t xml:space="preserve">Nozzle </t>
  </si>
  <si>
    <t>Duct</t>
  </si>
  <si>
    <t>Fri afstand</t>
  </si>
  <si>
    <t>stat tryk</t>
  </si>
  <si>
    <t>Pa</t>
  </si>
  <si>
    <t>dyn tryk</t>
  </si>
  <si>
    <t>tot. tryk</t>
  </si>
  <si>
    <t>Totaltrykfald</t>
  </si>
  <si>
    <t>Totaltryckfall</t>
  </si>
  <si>
    <t>Gesamtdruckverlust</t>
  </si>
  <si>
    <t>Total pressure drop</t>
  </si>
  <si>
    <t>Sprog</t>
  </si>
  <si>
    <t>Language</t>
  </si>
  <si>
    <t>Sprache</t>
  </si>
  <si>
    <t xml:space="preserve">Max. velocity </t>
  </si>
  <si>
    <t>Free distance</t>
  </si>
  <si>
    <t>Max.flow pr. m Ventiduct</t>
  </si>
  <si>
    <t>Maks. flow pr. m Ventiduct</t>
  </si>
  <si>
    <r>
      <t xml:space="preserve"> </t>
    </r>
    <r>
      <rPr>
        <sz val="10"/>
        <rFont val="Symbol"/>
        <family val="1"/>
        <charset val="2"/>
      </rPr>
      <t xml:space="preserve">a </t>
    </r>
    <r>
      <rPr>
        <vertAlign val="subscript"/>
        <sz val="10"/>
        <rFont val="Arial"/>
        <family val="2"/>
      </rPr>
      <t>m</t>
    </r>
  </si>
  <si>
    <t>Absorptionskoefficient</t>
  </si>
  <si>
    <r>
      <t xml:space="preserve">Absorptioncoefficient </t>
    </r>
    <r>
      <rPr>
        <sz val="10"/>
        <rFont val="Symbol"/>
        <family val="1"/>
        <charset val="2"/>
      </rPr>
      <t/>
    </r>
  </si>
  <si>
    <r>
      <t xml:space="preserve">Absorptionskoeffizient </t>
    </r>
    <r>
      <rPr>
        <sz val="10"/>
        <rFont val="Symbol"/>
        <family val="1"/>
        <charset val="2"/>
      </rPr>
      <t/>
    </r>
  </si>
  <si>
    <t>Absorptionsfaktor</t>
  </si>
  <si>
    <t>Ok Rohr/Decke</t>
  </si>
  <si>
    <r>
      <t xml:space="preserve">Q/A </t>
    </r>
    <r>
      <rPr>
        <vertAlign val="subscript"/>
        <sz val="11"/>
        <rFont val="Arial"/>
        <family val="2"/>
      </rPr>
      <t>total</t>
    </r>
  </si>
  <si>
    <r>
      <t xml:space="preserve">Flow pr A </t>
    </r>
    <r>
      <rPr>
        <vertAlign val="subscript"/>
        <sz val="11"/>
        <rFont val="Arial"/>
        <family val="2"/>
      </rPr>
      <t>aktiv</t>
    </r>
  </si>
  <si>
    <r>
      <t>Q/A</t>
    </r>
    <r>
      <rPr>
        <vertAlign val="subscript"/>
        <sz val="11"/>
        <rFont val="Arial"/>
        <family val="2"/>
      </rPr>
      <t>aktiv</t>
    </r>
  </si>
  <si>
    <t>Aktuelt flow pr. m rør</t>
  </si>
  <si>
    <t>Number Ventiduct</t>
  </si>
  <si>
    <t>Aktiv rumareal</t>
  </si>
  <si>
    <t xml:space="preserve">Active  room area </t>
  </si>
  <si>
    <t xml:space="preserve">Aktivt rumarea </t>
  </si>
  <si>
    <t>Ventiduct mitoitus</t>
  </si>
  <si>
    <t>Projekti:</t>
  </si>
  <si>
    <t>Päivä:</t>
  </si>
  <si>
    <t>Merkki:</t>
  </si>
  <si>
    <t>Projektinr:</t>
  </si>
  <si>
    <t>Koko</t>
  </si>
  <si>
    <t>Suutinsektori</t>
  </si>
  <si>
    <t>Virtauskuvio</t>
  </si>
  <si>
    <t>Ilmavirta(kokon.)</t>
  </si>
  <si>
    <t>Lämpötilaero</t>
  </si>
  <si>
    <t>Kanavien määrä</t>
  </si>
  <si>
    <t>Kanavien pituus</t>
  </si>
  <si>
    <t>Kanavien etäisyys</t>
  </si>
  <si>
    <t>Tulos</t>
  </si>
  <si>
    <t>Maks. nopeus</t>
  </si>
  <si>
    <t>Kokon. äänipainetaso</t>
  </si>
  <si>
    <t>Kommentit</t>
  </si>
  <si>
    <t>kpl</t>
  </si>
  <si>
    <t>Pituus:</t>
  </si>
  <si>
    <t>Leveys:</t>
  </si>
  <si>
    <t>Korkeus:</t>
  </si>
  <si>
    <t>Oleskeluvyöhyke(kork.)</t>
  </si>
  <si>
    <t>Asennuskork.</t>
  </si>
  <si>
    <t>Kaiutusaika Ts</t>
  </si>
  <si>
    <t>Absorptiokerroin</t>
  </si>
  <si>
    <t>Vapaa etäisyys</t>
  </si>
  <si>
    <t>Kanava/katto  m</t>
  </si>
  <si>
    <t>Huone vaimennus</t>
  </si>
  <si>
    <t>Aktiivinen huonealue</t>
  </si>
  <si>
    <t>Alue</t>
  </si>
  <si>
    <t>Leveys</t>
  </si>
  <si>
    <t>Pituus</t>
  </si>
  <si>
    <t>Maks. virta/m kanavassa</t>
  </si>
  <si>
    <t>Ilmavirta/m kanavassa</t>
  </si>
  <si>
    <t>Tark. ilmavirta/m</t>
  </si>
  <si>
    <t>Kokon. pituus kanavaa</t>
  </si>
  <si>
    <t>Tark. pituus</t>
  </si>
  <si>
    <t>Etäisyys Lattia/kanava</t>
  </si>
  <si>
    <t>Lämpö arvot</t>
  </si>
  <si>
    <t>Jäähdytys teho</t>
  </si>
  <si>
    <t>Ilman vaihtuvuus</t>
  </si>
  <si>
    <t>Ilmavirta/pituus</t>
  </si>
  <si>
    <t>Ilmavirta/kanava</t>
  </si>
  <si>
    <t>Maks. nopeus kanavassa</t>
  </si>
  <si>
    <t>Suutin</t>
  </si>
  <si>
    <t>kanava</t>
  </si>
  <si>
    <t>Kokon. painehäviö</t>
  </si>
  <si>
    <t>Äänitaso</t>
  </si>
  <si>
    <t>hyvin vaimennettu</t>
  </si>
  <si>
    <t>vaimennettu</t>
  </si>
  <si>
    <t>kova</t>
  </si>
  <si>
    <t>hyvin kova</t>
  </si>
  <si>
    <t>vaihteleva</t>
  </si>
  <si>
    <t>Virta yks.</t>
  </si>
  <si>
    <t>Kieli</t>
  </si>
  <si>
    <t>ylöspäin</t>
  </si>
  <si>
    <t>alaspäin</t>
  </si>
  <si>
    <t>sivulle</t>
  </si>
  <si>
    <t>Virta/ A aktiivi</t>
  </si>
  <si>
    <t>Akustiikka</t>
  </si>
  <si>
    <t>Suomi</t>
  </si>
  <si>
    <r>
      <t>&gt;&gt; nyt sprog &lt;&lt;</t>
    </r>
    <r>
      <rPr>
        <b/>
        <i/>
        <sz val="14"/>
        <color indexed="14"/>
        <rFont val="Arial"/>
        <family val="2"/>
      </rPr>
      <t xml:space="preserve"> (fx sønderjydsk???)</t>
    </r>
  </si>
  <si>
    <t>Dimensionamento di Ventiduct</t>
  </si>
  <si>
    <t>Data</t>
  </si>
  <si>
    <t>Iniziale</t>
  </si>
  <si>
    <t>Numero di progetto</t>
  </si>
  <si>
    <t>Progetto :</t>
  </si>
  <si>
    <t>Dimensione</t>
  </si>
  <si>
    <t>Modello</t>
  </si>
  <si>
    <t>Diffusione</t>
  </si>
  <si>
    <t>Portata massimale/metro Ventiduct</t>
  </si>
  <si>
    <t>Ventilazione</t>
  </si>
  <si>
    <t>Portata totale</t>
  </si>
  <si>
    <t>Subtemperatura</t>
  </si>
  <si>
    <t>Numero di canali</t>
  </si>
  <si>
    <t>Lunghezza di Ventiduct</t>
  </si>
  <si>
    <t>Controlla di massimale lunghezza di canale</t>
  </si>
  <si>
    <t>Lunghezza di Ventiduct totale</t>
  </si>
  <si>
    <t>Portata/metro Ventiduct</t>
  </si>
  <si>
    <t>Controlla di massimale portata/metro</t>
  </si>
  <si>
    <t>Intervallo entro canali o B/n</t>
  </si>
  <si>
    <t>Area di locale attiva</t>
  </si>
  <si>
    <t>(area)</t>
  </si>
  <si>
    <t>(larghezza)</t>
  </si>
  <si>
    <t>(lunghezza)</t>
  </si>
  <si>
    <t>Distanza entro pavimento e orlo inferiore canale</t>
  </si>
  <si>
    <t>Distanza libera</t>
  </si>
  <si>
    <t xml:space="preserve">Faccia canale/soffitto </t>
  </si>
  <si>
    <t>Risultato</t>
  </si>
  <si>
    <t>Velocità massinale</t>
  </si>
  <si>
    <t>Livello di pressione risultante</t>
  </si>
  <si>
    <t>Locale</t>
  </si>
  <si>
    <t>Costante di riverbero del locale Ts</t>
  </si>
  <si>
    <t>L'assorbimento del locale</t>
  </si>
  <si>
    <t>Attenuazione ambientale</t>
  </si>
  <si>
    <t>Numero</t>
  </si>
  <si>
    <t>Lunghezza</t>
  </si>
  <si>
    <t>Larghezza</t>
  </si>
  <si>
    <t>Altezza</t>
  </si>
  <si>
    <t>Zona di soggiorno</t>
  </si>
  <si>
    <t>Altezza di montaggio</t>
  </si>
  <si>
    <t xml:space="preserve">Paramenti </t>
  </si>
  <si>
    <t>Rafreddamento totale</t>
  </si>
  <si>
    <t>Cambio di area</t>
  </si>
  <si>
    <t>Portata / A attivo</t>
  </si>
  <si>
    <t>Rumorosità</t>
  </si>
  <si>
    <t>Portata/Ventiduct</t>
  </si>
  <si>
    <t>Massimale velocità el canale</t>
  </si>
  <si>
    <t>ugelli</t>
  </si>
  <si>
    <t>canale</t>
  </si>
  <si>
    <t>Potenza sonore</t>
  </si>
  <si>
    <t xml:space="preserve">Perdita di carico totale </t>
  </si>
  <si>
    <t>Molto attutito</t>
  </si>
  <si>
    <t>Attutito</t>
  </si>
  <si>
    <t>Normale</t>
  </si>
  <si>
    <t>Duro</t>
  </si>
  <si>
    <t>Molto duro</t>
  </si>
  <si>
    <t>Variabile</t>
  </si>
  <si>
    <t>Nota</t>
  </si>
  <si>
    <t>in su</t>
  </si>
  <si>
    <t>ingiù</t>
  </si>
  <si>
    <t>orizzontale</t>
  </si>
  <si>
    <t>Unità di portata</t>
  </si>
  <si>
    <t>Tryk</t>
  </si>
  <si>
    <t xml:space="preserve">p_st =0,68 * v_o^2 </t>
  </si>
  <si>
    <t>p_dyn = 0,6 * v_k^2</t>
  </si>
  <si>
    <t>p_tot = p_dyn + p_stat</t>
  </si>
  <si>
    <t>Dyser</t>
  </si>
  <si>
    <t>L_wd = L_DN + 101*log(V/L) + 10*log(L)</t>
  </si>
  <si>
    <t>pr. rør</t>
  </si>
  <si>
    <t>L_wk = 2 + 60*log(v_k)</t>
  </si>
  <si>
    <t>L_w_tot pr. rør = 10*log(10^Lwd/10 + 10^Lwk/10)</t>
  </si>
  <si>
    <t>L_DN = 240 - 91*log(DN*alpha_tot)</t>
  </si>
  <si>
    <t>Afstand mellem rør</t>
  </si>
  <si>
    <t>v_x = (V/L) / (DN*alpha_tot) * (X-Lo)^0,5 * k_alpha * k_dt * k_loft</t>
  </si>
  <si>
    <t>v_x = (V/L) / (DN*alpha_tot)  * k_alpha * 20</t>
  </si>
  <si>
    <t>v_max = max(v_term, v_ned)</t>
  </si>
  <si>
    <t>k &gt;=1</t>
  </si>
  <si>
    <t>h - fri afstand til loft i mm</t>
  </si>
  <si>
    <t xml:space="preserve">k_loft_op = 0,8 - (h-DN)/DN * 0,075   </t>
  </si>
  <si>
    <t>v_ned =0,0025 * dt^0,5 * (V/L)^-0,5 * DN</t>
  </si>
  <si>
    <t>v_x_iso = (V/L) / (DN*alpha_tot) * (X-Lo)^0,5 * k_alpha * k_dt * k_loft</t>
  </si>
  <si>
    <t>v_x_iso = (V/L) / (DN*alpha_tot)  * k_alpha * 20</t>
  </si>
  <si>
    <t>wrety</t>
  </si>
  <si>
    <t>gSZDfg</t>
  </si>
  <si>
    <t>ZSDFg</t>
  </si>
  <si>
    <t>SDfg</t>
  </si>
  <si>
    <t>zsdxfg</t>
  </si>
  <si>
    <t>zsdxgzsxdfg</t>
  </si>
  <si>
    <t>rthsgh</t>
  </si>
  <si>
    <t>dghj</t>
  </si>
  <si>
    <t>gvn</t>
  </si>
  <si>
    <t>Monteringshöjd</t>
  </si>
  <si>
    <t>Max. sluthastighet</t>
  </si>
  <si>
    <t>ffhj</t>
  </si>
  <si>
    <t>fhjk</t>
  </si>
  <si>
    <t>Dansk</t>
  </si>
  <si>
    <t>English</t>
  </si>
  <si>
    <t>Deutsch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</si>
  <si>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</si>
  <si>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/(hm)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</si>
  <si>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/(hm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</si>
  <si>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l/(sm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</si>
  <si>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Italiano</t>
  </si>
  <si>
    <t>Montagehøjde (overkant) rør</t>
  </si>
  <si>
    <t>overkant rør/loft</t>
  </si>
  <si>
    <t>Ventiduct/Ceiling in m</t>
  </si>
  <si>
    <t>Luftflöde (Totalt)</t>
  </si>
  <si>
    <t>Q/längd</t>
  </si>
  <si>
    <t>Enhet Flow</t>
  </si>
  <si>
    <t>Afstand gulv / underkant rør</t>
  </si>
  <si>
    <t>Avstånd golv uk rör</t>
  </si>
  <si>
    <t>Raumdaten:</t>
  </si>
  <si>
    <t>A in m²:</t>
  </si>
  <si>
    <r>
      <t>V in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:</t>
    </r>
  </si>
  <si>
    <t xml:space="preserve">    UK Decke</t>
  </si>
  <si>
    <t>m OK-FFB</t>
  </si>
  <si>
    <t>Datum:</t>
  </si>
  <si>
    <t>Bemerkungen:</t>
  </si>
  <si>
    <t>Dimensionierung Ventiduct - VSR</t>
  </si>
  <si>
    <t>Online-Produktinformation VSR-Düsenrohr</t>
  </si>
  <si>
    <t>Ausschreibungstext</t>
  </si>
  <si>
    <t>Stand: 10_2023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</si>
</sst>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dd\.mm\.yyyy"/>
  </numFmts>
  <fonts count="30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4"/>
      <name val="Arial"/>
      <family val="2"/>
    </font>
    <font>
      <i/>
      <sz val="10"/>
      <color indexed="10"/>
      <name val="Arial"/>
      <family val="2"/>
    </font>
    <font>
      <b/>
      <sz val="18"/>
      <color indexed="8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2"/>
      <color rgb="FF000000"/>
      <name val="Raleway Light"/>
    </font>
    <font>
      <u/>
      <sz val="12"/>
      <color theme="10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/>
    <xf numFmtId="0" fontId="24" fillId="0" borderId="0" applyNumberFormat="0" applyFill="0" applyBorder="0" applyAlignment="0" applyProtection="0"/>
  </cellStyleXfs>
  <cellXfs count="135">
    <xf numFmtId="0" fontId="0" fillId="0" borderId="0" xfId="0"/>
    <xf numFmtId="2" fontId="0" fillId="0" borderId="0" xfId="0" applyNumberFormat="1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65" fontId="0" fillId="0" borderId="0" xfId="0" applyNumberFormat="1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right"/>
    </xf>
    <xf numFmtId="1" fontId="0" fillId="0" borderId="3" xfId="0" applyNumberFormat="1" applyBorder="1"/>
    <xf numFmtId="1" fontId="0" fillId="0" borderId="4" xfId="0" applyNumberFormat="1" applyBorder="1"/>
    <xf numFmtId="0" fontId="0" fillId="0" borderId="0" xfId="0" applyAlignment="1">
      <alignment horizontal="left"/>
    </xf>
    <xf numFmtId="0" fontId="5" fillId="0" borderId="1" xfId="0" applyFont="1" applyBorder="1"/>
    <xf numFmtId="0" fontId="0" fillId="2" borderId="2" xfId="0" applyFill="1" applyBorder="1" applyAlignment="1" applyProtection="1">
      <alignment horizontal="right"/>
      <protection locked="0"/>
    </xf>
    <xf numFmtId="0" fontId="6" fillId="0" borderId="0" xfId="0" applyFont="1"/>
    <xf numFmtId="0" fontId="0" fillId="0" borderId="5" xfId="0" applyBorder="1"/>
    <xf numFmtId="0" fontId="11" fillId="0" borderId="0" xfId="0" applyFont="1" applyAlignment="1">
      <alignment horizontal="right"/>
    </xf>
    <xf numFmtId="0" fontId="4" fillId="0" borderId="0" xfId="0" applyFont="1"/>
    <xf numFmtId="0" fontId="11" fillId="0" borderId="0" xfId="0" applyFont="1"/>
    <xf numFmtId="0" fontId="0" fillId="0" borderId="6" xfId="0" applyBorder="1"/>
    <xf numFmtId="0" fontId="0" fillId="0" borderId="7" xfId="0" applyBorder="1"/>
    <xf numFmtId="2" fontId="0" fillId="0" borderId="8" xfId="0" applyNumberFormat="1" applyBorder="1" applyAlignment="1">
      <alignment horizontal="right"/>
    </xf>
    <xf numFmtId="0" fontId="6" fillId="0" borderId="0" xfId="0" applyFont="1" applyAlignment="1">
      <alignment horizontal="left"/>
    </xf>
    <xf numFmtId="164" fontId="0" fillId="0" borderId="9" xfId="0" applyNumberForma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12" xfId="0" applyFont="1" applyBorder="1"/>
    <xf numFmtId="0" fontId="14" fillId="0" borderId="5" xfId="0" applyFont="1" applyBorder="1" applyAlignment="1">
      <alignment horizontal="right"/>
    </xf>
    <xf numFmtId="0" fontId="14" fillId="0" borderId="14" xfId="0" applyFont="1" applyBorder="1"/>
    <xf numFmtId="0" fontId="15" fillId="0" borderId="14" xfId="0" applyFont="1" applyBorder="1"/>
    <xf numFmtId="0" fontId="14" fillId="0" borderId="6" xfId="0" applyFont="1" applyBorder="1" applyAlignment="1">
      <alignment horizontal="right"/>
    </xf>
    <xf numFmtId="0" fontId="14" fillId="0" borderId="10" xfId="0" applyFont="1" applyBorder="1"/>
    <xf numFmtId="2" fontId="14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Protection="1">
      <protection locked="0"/>
    </xf>
    <xf numFmtId="0" fontId="13" fillId="0" borderId="0" xfId="0" applyFont="1"/>
    <xf numFmtId="0" fontId="18" fillId="0" borderId="0" xfId="0" applyFont="1"/>
    <xf numFmtId="0" fontId="5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2" fontId="22" fillId="0" borderId="0" xfId="1" applyNumberFormat="1" applyFont="1" applyAlignment="1">
      <alignment horizontal="left" vertical="center"/>
    </xf>
    <xf numFmtId="164" fontId="14" fillId="0" borderId="13" xfId="0" applyNumberFormat="1" applyFont="1" applyBorder="1" applyAlignment="1">
      <alignment horizontal="left"/>
    </xf>
    <xf numFmtId="1" fontId="14" fillId="0" borderId="6" xfId="0" applyNumberFormat="1" applyFont="1" applyBorder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" fontId="14" fillId="0" borderId="0" xfId="0" applyNumberFormat="1" applyFont="1" applyAlignment="1" applyProtection="1">
      <alignment horizontal="center" vertical="center"/>
      <protection locked="0"/>
    </xf>
    <xf numFmtId="1" fontId="14" fillId="0" borderId="6" xfId="0" applyNumberFormat="1" applyFont="1" applyBorder="1" applyAlignment="1" applyProtection="1">
      <alignment horizontal="center" vertical="center"/>
      <protection locked="0"/>
    </xf>
    <xf numFmtId="1" fontId="14" fillId="0" borderId="0" xfId="0" applyNumberFormat="1" applyFont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3" fillId="3" borderId="6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0" borderId="21" xfId="0" applyFont="1" applyBorder="1" applyAlignment="1">
      <alignment wrapText="1"/>
    </xf>
    <xf numFmtId="0" fontId="0" fillId="4" borderId="2" xfId="0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>
      <alignment horizontal="right"/>
    </xf>
    <xf numFmtId="0" fontId="0" fillId="4" borderId="10" xfId="0" applyFill="1" applyBorder="1"/>
    <xf numFmtId="0" fontId="0" fillId="4" borderId="0" xfId="0" applyFill="1"/>
    <xf numFmtId="0" fontId="0" fillId="4" borderId="6" xfId="0" applyFill="1" applyBorder="1"/>
    <xf numFmtId="0" fontId="0" fillId="4" borderId="2" xfId="0" applyFill="1" applyBorder="1"/>
    <xf numFmtId="0" fontId="14" fillId="4" borderId="2" xfId="0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/>
    <xf numFmtId="0" fontId="23" fillId="4" borderId="14" xfId="0" applyFont="1" applyFill="1" applyBorder="1" applyProtection="1">
      <protection locked="0"/>
    </xf>
    <xf numFmtId="0" fontId="23" fillId="4" borderId="0" xfId="0" applyFont="1" applyFill="1" applyAlignment="1" applyProtection="1">
      <alignment horizontal="left"/>
      <protection locked="0"/>
    </xf>
    <xf numFmtId="0" fontId="23" fillId="4" borderId="6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11" xfId="0" applyBorder="1"/>
    <xf numFmtId="0" fontId="28" fillId="0" borderId="12" xfId="2" applyFont="1" applyBorder="1" applyAlignment="1">
      <alignment horizontal="left"/>
    </xf>
    <xf numFmtId="0" fontId="28" fillId="0" borderId="5" xfId="2" applyFont="1" applyBorder="1" applyAlignment="1">
      <alignment horizontal="left"/>
    </xf>
    <xf numFmtId="0" fontId="25" fillId="0" borderId="0" xfId="2" applyFont="1" applyBorder="1"/>
    <xf numFmtId="0" fontId="29" fillId="0" borderId="21" xfId="0" applyFont="1" applyBorder="1"/>
    <xf numFmtId="0" fontId="19" fillId="0" borderId="0" xfId="0" applyFont="1"/>
    <xf numFmtId="0" fontId="22" fillId="0" borderId="0" xfId="0" applyFont="1"/>
    <xf numFmtId="0" fontId="21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166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6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26" fillId="0" borderId="6" xfId="0" applyFont="1" applyBorder="1" applyAlignment="1">
      <alignment horizontal="right"/>
    </xf>
    <xf numFmtId="0" fontId="23" fillId="4" borderId="5" xfId="0" applyFont="1" applyFill="1" applyBorder="1" applyAlignment="1" applyProtection="1">
      <alignment horizontal="left"/>
      <protection locked="0"/>
    </xf>
    <xf numFmtId="0" fontId="23" fillId="4" borderId="13" xfId="0" applyFont="1" applyFill="1" applyBorder="1" applyAlignment="1" applyProtection="1">
      <alignment horizontal="left"/>
      <protection locked="0"/>
    </xf>
    <xf numFmtId="0" fontId="23" fillId="4" borderId="14" xfId="0" applyFont="1" applyFill="1" applyBorder="1" applyAlignment="1" applyProtection="1">
      <alignment horizontal="left"/>
      <protection locked="0"/>
    </xf>
    <xf numFmtId="0" fontId="23" fillId="4" borderId="0" xfId="0" applyFont="1" applyFill="1" applyAlignment="1" applyProtection="1">
      <alignment horizontal="left"/>
      <protection locked="0"/>
    </xf>
    <xf numFmtId="0" fontId="23" fillId="4" borderId="6" xfId="0" applyFont="1" applyFill="1" applyBorder="1" applyAlignment="1" applyProtection="1">
      <alignment horizontal="left"/>
      <protection locked="0"/>
    </xf>
    <xf numFmtId="0" fontId="28" fillId="0" borderId="10" xfId="2" applyFont="1" applyBorder="1" applyAlignment="1">
      <alignment horizontal="left" vertical="top"/>
    </xf>
    <xf numFmtId="0" fontId="28" fillId="0" borderId="7" xfId="2" applyFont="1" applyBorder="1" applyAlignment="1">
      <alignment horizontal="left" vertical="top"/>
    </xf>
    <xf numFmtId="0" fontId="23" fillId="4" borderId="10" xfId="0" applyFont="1" applyFill="1" applyBorder="1" applyAlignment="1" applyProtection="1">
      <alignment horizontal="left"/>
      <protection locked="0"/>
    </xf>
    <xf numFmtId="0" fontId="23" fillId="4" borderId="7" xfId="0" applyFont="1" applyFill="1" applyBorder="1" applyAlignment="1" applyProtection="1">
      <alignment horizontal="left"/>
      <protection locked="0"/>
    </xf>
    <xf numFmtId="0" fontId="23" fillId="4" borderId="11" xfId="0" applyFont="1" applyFill="1" applyBorder="1" applyAlignment="1" applyProtection="1">
      <alignment horizontal="left"/>
      <protection locked="0"/>
    </xf>
    <xf numFmtId="0" fontId="13" fillId="4" borderId="1" xfId="0" applyFont="1" applyFill="1" applyBorder="1" applyAlignment="1" applyProtection="1">
      <alignment horizontal="left"/>
      <protection locked="0"/>
    </xf>
    <xf numFmtId="0" fontId="13" fillId="4" borderId="3" xfId="0" applyFont="1" applyFill="1" applyBorder="1" applyAlignment="1" applyProtection="1">
      <alignment horizontal="left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10" xfId="0" applyFont="1" applyFill="1" applyBorder="1" applyAlignment="1" applyProtection="1">
      <alignment horizontal="left"/>
      <protection locked="0"/>
    </xf>
    <xf numFmtId="0" fontId="13" fillId="4" borderId="7" xfId="0" applyFont="1" applyFill="1" applyBorder="1" applyAlignment="1" applyProtection="1">
      <alignment horizontal="left"/>
      <protection locked="0"/>
    </xf>
    <xf numFmtId="0" fontId="13" fillId="4" borderId="11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Link" xfId="2" builtinId="8"/>
    <cellStyle name="Normal_Ordrekoncept_1" xfId="1" xr:uid="{00000000-0005-0000-0000-000000000000}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5" fmlaLink="'ventiduct-parameter'!$J$4" fmlaRange="'ventiduct-parameter'!$A$4:$A$8" noThreeD="1" sel="2" val="0"/>
</file>

<file path=xl/ctrlProps/ctrlProp10.xml><?xml version="1.0" encoding="utf-8"?>
<formControlPr xmlns="http://schemas.microsoft.com/office/spreadsheetml/2009/9/main" objectType="Spin" dx="15" fmlaLink="'ventiduct-parameter'!$L$8" inc="5" max="300" min="90" page="10" val="280"/>
</file>

<file path=xl/ctrlProps/ctrlProp11.xml><?xml version="1.0" encoding="utf-8"?>
<formControlPr xmlns="http://schemas.microsoft.com/office/spreadsheetml/2009/9/main" objectType="Drop" dropLines="3" dropStyle="combo" dx="15" fmlaLink="'ventiduct-parameter'!$L$6" fmlaRange="'ventiduct-parameter'!$G$4:$G$6" noThreeD="1" sel="3" val="0"/>
</file>

<file path=xl/ctrlProps/ctrlProp12.xml><?xml version="1.0" encoding="utf-8"?>
<formControlPr xmlns="http://schemas.microsoft.com/office/spreadsheetml/2009/9/main" objectType="Drop" dropLines="3" dropStyle="combo" dx="15" fmlaLink="'ventiduct-parameter'!$K$6" fmlaRange="'ventiduct-parameter'!$G$4:$G$6" noThreeD="1" sel="2" val="0"/>
</file>

<file path=xl/ctrlProps/ctrlProp13.xml><?xml version="1.0" encoding="utf-8"?>
<formControlPr xmlns="http://schemas.microsoft.com/office/spreadsheetml/2009/9/main" objectType="Spin" dx="15" fmlaLink="'ventiduct-parameter'!$A$18" max="50" min="5" page="10" val="18"/>
</file>

<file path=xl/ctrlProps/ctrlProp14.xml><?xml version="1.0" encoding="utf-8"?>
<formControlPr xmlns="http://schemas.microsoft.com/office/spreadsheetml/2009/9/main" objectType="Drop" dropLines="6" dropStyle="combo" dx="15" fmlaLink="'ventiduct-parameter'!$A$16" fmlaRange="'ventiduct-parameter'!$A$10:$A$15" noThreeD="1" sel="3" val="0"/>
</file>

<file path=xl/ctrlProps/ctrlProp15.xml><?xml version="1.0" encoding="utf-8"?>
<formControlPr xmlns="http://schemas.microsoft.com/office/spreadsheetml/2009/9/main" objectType="Drop" dropLines="2" dropStyle="combo" dx="15" fmlaLink="'ventiduct-parameter'!$A$26" fmlaRange="'ventiduct-parameter'!$A$28:$A$29" noThreeD="1" sel="1" val="0"/>
</file>

<file path=xl/ctrlProps/ctrlProp16.xml><?xml version="1.0" encoding="utf-8"?>
<formControlPr xmlns="http://schemas.microsoft.com/office/spreadsheetml/2009/9/main" objectType="Drop" dropStyle="combo" dx="15" fmlaLink="Language!$H$1" fmlaRange="Language!$H$3:$H$8" noThreeD="1" sel="3" val="0"/>
</file>

<file path=xl/ctrlProps/ctrlProp2.xml><?xml version="1.0" encoding="utf-8"?>
<formControlPr xmlns="http://schemas.microsoft.com/office/spreadsheetml/2009/9/main" objectType="Drop" dropLines="6" dropStyle="combo" dx="15" fmlaLink="'ventiduct-parameter'!$J$5" fmlaRange="'ventiduct-parameter'!$D$4:$D$9" noThreeD="1" sel="1" val="0"/>
</file>

<file path=xl/ctrlProps/ctrlProp3.xml><?xml version="1.0" encoding="utf-8"?>
<formControlPr xmlns="http://schemas.microsoft.com/office/spreadsheetml/2009/9/main" objectType="Spin" dx="15" fmlaLink="'ventiduct-parameter'!$J$8" inc="5" max="300" min="90" page="10" val="275"/>
</file>

<file path=xl/ctrlProps/ctrlProp4.xml><?xml version="1.0" encoding="utf-8"?>
<formControlPr xmlns="http://schemas.microsoft.com/office/spreadsheetml/2009/9/main" objectType="Drop" dropLines="3" dropStyle="combo" dx="15" fmlaLink="'ventiduct-parameter'!$J$6" fmlaRange="'ventiduct-parameter'!$G$4:$G$6" noThreeD="1" sel="2" val="0"/>
</file>

<file path=xl/ctrlProps/ctrlProp5.xml><?xml version="1.0" encoding="utf-8"?>
<formControlPr xmlns="http://schemas.microsoft.com/office/spreadsheetml/2009/9/main" objectType="Drop" dropLines="5" dropStyle="combo" dx="15" fmlaLink="'ventiduct-parameter'!$K$4" fmlaRange="'ventiduct-parameter'!$A$4:$A$8" noThreeD="1" sel="1" val="0"/>
</file>

<file path=xl/ctrlProps/ctrlProp6.xml><?xml version="1.0" encoding="utf-8"?>
<formControlPr xmlns="http://schemas.microsoft.com/office/spreadsheetml/2009/9/main" objectType="Drop" dropLines="5" dropStyle="combo" dx="15" fmlaLink="'ventiduct-parameter'!$L$4" fmlaRange="'ventiduct-parameter'!$A$4:$A$8" noThreeD="1" sel="2" val="0"/>
</file>

<file path=xl/ctrlProps/ctrlProp7.xml><?xml version="1.0" encoding="utf-8"?>
<formControlPr xmlns="http://schemas.microsoft.com/office/spreadsheetml/2009/9/main" objectType="Drop" dropLines="6" dropStyle="combo" dx="15" fmlaLink="'ventiduct-parameter'!$K$5" fmlaRange="'ventiduct-parameter'!$D$4:$D$9" noThreeD="1" sel="3" val="0"/>
</file>

<file path=xl/ctrlProps/ctrlProp8.xml><?xml version="1.0" encoding="utf-8"?>
<formControlPr xmlns="http://schemas.microsoft.com/office/spreadsheetml/2009/9/main" objectType="Drop" dropLines="6" dropStyle="combo" dx="15" fmlaLink="'ventiduct-parameter'!$L$5" fmlaRange="'ventiduct-parameter'!$D$4:$D$9" noThreeD="1" sel="5" val="0"/>
</file>

<file path=xl/ctrlProps/ctrlProp9.xml><?xml version="1.0" encoding="utf-8"?>
<formControlPr xmlns="http://schemas.microsoft.com/office/spreadsheetml/2009/9/main" objectType="Spin" dx="15" fmlaLink="'ventiduct-parameter'!$K$8" inc="5" max="300" min="90" page="10" val="16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25</xdr:row>
          <xdr:rowOff>66675</xdr:rowOff>
        </xdr:from>
        <xdr:to>
          <xdr:col>4</xdr:col>
          <xdr:colOff>676275</xdr:colOff>
          <xdr:row>25</xdr:row>
          <xdr:rowOff>295275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38100</xdr:rowOff>
        </xdr:from>
        <xdr:to>
          <xdr:col>4</xdr:col>
          <xdr:colOff>685800</xdr:colOff>
          <xdr:row>26</xdr:row>
          <xdr:rowOff>257175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28</xdr:row>
          <xdr:rowOff>38100</xdr:rowOff>
        </xdr:from>
        <xdr:to>
          <xdr:col>4</xdr:col>
          <xdr:colOff>619125</xdr:colOff>
          <xdr:row>29</xdr:row>
          <xdr:rowOff>142875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30</xdr:row>
          <xdr:rowOff>19050</xdr:rowOff>
        </xdr:from>
        <xdr:to>
          <xdr:col>4</xdr:col>
          <xdr:colOff>704850</xdr:colOff>
          <xdr:row>30</xdr:row>
          <xdr:rowOff>219075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25</xdr:row>
          <xdr:rowOff>85725</xdr:rowOff>
        </xdr:from>
        <xdr:to>
          <xdr:col>5</xdr:col>
          <xdr:colOff>666750</xdr:colOff>
          <xdr:row>25</xdr:row>
          <xdr:rowOff>304800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25</xdr:row>
          <xdr:rowOff>76200</xdr:rowOff>
        </xdr:from>
        <xdr:to>
          <xdr:col>6</xdr:col>
          <xdr:colOff>676275</xdr:colOff>
          <xdr:row>25</xdr:row>
          <xdr:rowOff>276225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47625</xdr:rowOff>
        </xdr:from>
        <xdr:to>
          <xdr:col>5</xdr:col>
          <xdr:colOff>647700</xdr:colOff>
          <xdr:row>26</xdr:row>
          <xdr:rowOff>257175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26</xdr:row>
          <xdr:rowOff>38100</xdr:rowOff>
        </xdr:from>
        <xdr:to>
          <xdr:col>6</xdr:col>
          <xdr:colOff>666750</xdr:colOff>
          <xdr:row>26</xdr:row>
          <xdr:rowOff>238125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28</xdr:row>
          <xdr:rowOff>38100</xdr:rowOff>
        </xdr:from>
        <xdr:to>
          <xdr:col>5</xdr:col>
          <xdr:colOff>609600</xdr:colOff>
          <xdr:row>29</xdr:row>
          <xdr:rowOff>142875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28</xdr:row>
          <xdr:rowOff>47625</xdr:rowOff>
        </xdr:from>
        <xdr:to>
          <xdr:col>6</xdr:col>
          <xdr:colOff>619125</xdr:colOff>
          <xdr:row>29</xdr:row>
          <xdr:rowOff>152400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19050</xdr:rowOff>
        </xdr:from>
        <xdr:to>
          <xdr:col>6</xdr:col>
          <xdr:colOff>685800</xdr:colOff>
          <xdr:row>30</xdr:row>
          <xdr:rowOff>228600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30</xdr:row>
          <xdr:rowOff>28575</xdr:rowOff>
        </xdr:from>
        <xdr:to>
          <xdr:col>5</xdr:col>
          <xdr:colOff>685800</xdr:colOff>
          <xdr:row>30</xdr:row>
          <xdr:rowOff>228600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22</xdr:row>
          <xdr:rowOff>28575</xdr:rowOff>
        </xdr:from>
        <xdr:to>
          <xdr:col>6</xdr:col>
          <xdr:colOff>638175</xdr:colOff>
          <xdr:row>22</xdr:row>
          <xdr:rowOff>219075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28575</xdr:rowOff>
        </xdr:from>
        <xdr:to>
          <xdr:col>6</xdr:col>
          <xdr:colOff>276225</xdr:colOff>
          <xdr:row>22</xdr:row>
          <xdr:rowOff>228600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</xdr:row>
          <xdr:rowOff>0</xdr:rowOff>
        </xdr:from>
        <xdr:to>
          <xdr:col>5</xdr:col>
          <xdr:colOff>333375</xdr:colOff>
          <xdr:row>9</xdr:row>
          <xdr:rowOff>219075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9</xdr:row>
          <xdr:rowOff>0</xdr:rowOff>
        </xdr:from>
        <xdr:to>
          <xdr:col>2</xdr:col>
          <xdr:colOff>1400175</xdr:colOff>
          <xdr:row>9</xdr:row>
          <xdr:rowOff>219075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523932</xdr:colOff>
      <xdr:row>4</xdr:row>
      <xdr:rowOff>9524</xdr:rowOff>
    </xdr:from>
    <xdr:to>
      <xdr:col>14</xdr:col>
      <xdr:colOff>66674</xdr:colOff>
      <xdr:row>8</xdr:row>
      <xdr:rowOff>209550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4733982" y="657224"/>
          <a:ext cx="4933892" cy="1047751"/>
        </a:xfrm>
        <a:prstGeom prst="rect">
          <a:avLst/>
        </a:prstGeom>
      </xdr:spPr>
    </xdr:pic>
    <xdr:clientData/>
  </xdr:twoCellAnchor>
  <xdr:twoCellAnchor editAs="oneCell">
    <xdr:from>
      <xdr:col>2</xdr:col>
      <xdr:colOff>9524</xdr:colOff>
      <xdr:row>1</xdr:row>
      <xdr:rowOff>0</xdr:rowOff>
    </xdr:from>
    <xdr:to>
      <xdr:col>2</xdr:col>
      <xdr:colOff>666749</xdr:colOff>
      <xdr:row>5</xdr:row>
      <xdr:rowOff>73089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" y="0"/>
          <a:ext cx="657225" cy="720789"/>
        </a:xfrm>
        <a:prstGeom prst="rect">
          <a:avLst/>
        </a:prstGeom>
      </xdr:spPr>
    </xdr:pic>
    <xdr:clientData/>
  </xdr:twoCellAnchor>
  <xdr:twoCellAnchor editAs="oneCell">
    <xdr:from>
      <xdr:col>9</xdr:col>
      <xdr:colOff>156450</xdr:colOff>
      <xdr:row>1</xdr:row>
      <xdr:rowOff>113534</xdr:rowOff>
    </xdr:from>
    <xdr:to>
      <xdr:col>14</xdr:col>
      <xdr:colOff>8740</xdr:colOff>
      <xdr:row>3</xdr:row>
      <xdr:rowOff>57149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0625" y="275459"/>
          <a:ext cx="2719315" cy="267465"/>
        </a:xfrm>
        <a:prstGeom prst="rect">
          <a:avLst/>
        </a:prstGeom>
      </xdr:spPr>
    </xdr:pic>
    <xdr:clientData/>
  </xdr:twoCellAnchor>
  <xdr:twoCellAnchor editAs="oneCell">
    <xdr:from>
      <xdr:col>11</xdr:col>
      <xdr:colOff>133350</xdr:colOff>
      <xdr:row>53</xdr:row>
      <xdr:rowOff>163789</xdr:rowOff>
    </xdr:from>
    <xdr:to>
      <xdr:col>13</xdr:col>
      <xdr:colOff>413092</xdr:colOff>
      <xdr:row>56</xdr:row>
      <xdr:rowOff>2396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14" t="13552" r="7762" b="22764"/>
        <a:stretch/>
      </xdr:blipFill>
      <xdr:spPr>
        <a:xfrm>
          <a:off x="8334375" y="11088964"/>
          <a:ext cx="1213192" cy="400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s://ausschreiben.de/integration/v2/catalog/lindab/anr/VSR?integrationKey=8ddf05e2-915f-4426-ba21-4631fd65ed4a&amp;v=5249989635494190799&amp;t=878488046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https://www.lindqst.com/documentation/default.aspx?search=vsr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fitToPage="1"/>
  </sheetPr>
  <dimension ref="A1:J90"/>
  <sheetViews>
    <sheetView topLeftCell="A5" workbookViewId="0">
      <selection activeCell="C39" sqref="C39"/>
    </sheetView>
  </sheetViews>
  <sheetFormatPr baseColWidth="10" defaultColWidth="9.140625" defaultRowHeight="12.75" x14ac:dyDescent="0.2"/>
  <cols>
    <col min="1" max="1" width="34.5703125" customWidth="1"/>
    <col min="2" max="2" width="36.85546875" customWidth="1"/>
    <col min="3" max="3" width="37.7109375" customWidth="1"/>
    <col min="4" max="6" width="45.28515625" customWidth="1"/>
    <col min="7" max="7" width="52" customWidth="1"/>
  </cols>
  <sheetData>
    <row r="1" spans="1:10" x14ac:dyDescent="0.2">
      <c r="B1">
        <v>1</v>
      </c>
      <c r="H1">
        <v>3</v>
      </c>
    </row>
    <row r="2" spans="1:10" x14ac:dyDescent="0.2">
      <c r="A2" t="s">
        <v>333</v>
      </c>
      <c r="B2" t="s">
        <v>334</v>
      </c>
      <c r="C2" t="s">
        <v>335</v>
      </c>
      <c r="D2" t="s">
        <v>334</v>
      </c>
      <c r="E2" t="s">
        <v>408</v>
      </c>
      <c r="F2" t="s">
        <v>334</v>
      </c>
    </row>
    <row r="3" spans="1:10" ht="18.75" x14ac:dyDescent="0.3">
      <c r="A3" s="41" t="s">
        <v>136</v>
      </c>
      <c r="B3" s="41" t="s">
        <v>137</v>
      </c>
      <c r="C3" s="41" t="s">
        <v>138</v>
      </c>
      <c r="D3" s="41" t="s">
        <v>241</v>
      </c>
      <c r="E3" s="42" t="s">
        <v>414</v>
      </c>
      <c r="F3" s="42" t="s">
        <v>517</v>
      </c>
      <c r="G3" s="107" t="s">
        <v>415</v>
      </c>
      <c r="H3" t="s">
        <v>510</v>
      </c>
    </row>
    <row r="4" spans="1:10" ht="23.25" x14ac:dyDescent="0.35">
      <c r="A4" s="21" t="s">
        <v>268</v>
      </c>
      <c r="B4" s="21" t="s">
        <v>226</v>
      </c>
      <c r="C4" s="21" t="s">
        <v>533</v>
      </c>
      <c r="D4" s="21" t="s">
        <v>267</v>
      </c>
      <c r="E4" s="21" t="s">
        <v>354</v>
      </c>
      <c r="F4" s="21" t="s">
        <v>416</v>
      </c>
      <c r="G4" s="21" t="s">
        <v>497</v>
      </c>
      <c r="H4" t="s">
        <v>511</v>
      </c>
    </row>
    <row r="5" spans="1:10" ht="15" x14ac:dyDescent="0.2">
      <c r="A5" s="22" t="s">
        <v>272</v>
      </c>
      <c r="B5" s="22" t="s">
        <v>236</v>
      </c>
      <c r="C5" s="22" t="s">
        <v>531</v>
      </c>
      <c r="D5" s="22" t="s">
        <v>269</v>
      </c>
      <c r="E5" s="22" t="s">
        <v>356</v>
      </c>
      <c r="F5" s="22" t="s">
        <v>417</v>
      </c>
      <c r="G5" s="22"/>
      <c r="H5" t="s">
        <v>512</v>
      </c>
    </row>
    <row r="6" spans="1:10" ht="15" x14ac:dyDescent="0.2">
      <c r="A6" s="22" t="s">
        <v>273</v>
      </c>
      <c r="B6" s="22" t="s">
        <v>238</v>
      </c>
      <c r="C6" s="22" t="s">
        <v>270</v>
      </c>
      <c r="D6" s="22" t="s">
        <v>270</v>
      </c>
      <c r="E6" s="22" t="s">
        <v>357</v>
      </c>
      <c r="F6" s="22" t="s">
        <v>418</v>
      </c>
      <c r="G6" s="22" t="s">
        <v>503</v>
      </c>
      <c r="H6" t="s">
        <v>241</v>
      </c>
    </row>
    <row r="7" spans="1:10" ht="15" x14ac:dyDescent="0.2">
      <c r="A7" s="22" t="s">
        <v>271</v>
      </c>
      <c r="B7" s="22" t="s">
        <v>237</v>
      </c>
      <c r="C7" s="22" t="s">
        <v>271</v>
      </c>
      <c r="D7" s="22" t="s">
        <v>271</v>
      </c>
      <c r="E7" s="22" t="s">
        <v>358</v>
      </c>
      <c r="F7" s="22" t="s">
        <v>419</v>
      </c>
      <c r="G7" s="22"/>
      <c r="H7" t="s">
        <v>414</v>
      </c>
    </row>
    <row r="8" spans="1:10" ht="23.25" x14ac:dyDescent="0.35">
      <c r="A8" s="21" t="s">
        <v>211</v>
      </c>
      <c r="B8" s="21" t="s">
        <v>274</v>
      </c>
      <c r="C8" s="21" t="s">
        <v>211</v>
      </c>
      <c r="D8" s="21" t="s">
        <v>211</v>
      </c>
      <c r="E8" s="21" t="s">
        <v>355</v>
      </c>
      <c r="F8" s="21" t="s">
        <v>420</v>
      </c>
      <c r="G8" s="108" t="s">
        <v>505</v>
      </c>
      <c r="H8" t="s">
        <v>517</v>
      </c>
    </row>
    <row r="9" spans="1:10" x14ac:dyDescent="0.2">
      <c r="A9" t="s">
        <v>10</v>
      </c>
      <c r="B9" t="s">
        <v>10</v>
      </c>
      <c r="C9" t="s">
        <v>10</v>
      </c>
      <c r="D9" t="s">
        <v>10</v>
      </c>
      <c r="E9" t="s">
        <v>359</v>
      </c>
      <c r="F9" t="s">
        <v>421</v>
      </c>
      <c r="G9" t="s">
        <v>498</v>
      </c>
    </row>
    <row r="10" spans="1:10" x14ac:dyDescent="0.2">
      <c r="A10" t="s">
        <v>4</v>
      </c>
      <c r="B10" t="s">
        <v>310</v>
      </c>
      <c r="C10" t="s">
        <v>140</v>
      </c>
      <c r="D10" t="s">
        <v>242</v>
      </c>
      <c r="E10" t="s">
        <v>360</v>
      </c>
      <c r="F10" t="s">
        <v>422</v>
      </c>
    </row>
    <row r="11" spans="1:10" x14ac:dyDescent="0.2">
      <c r="G11" t="s">
        <v>499</v>
      </c>
    </row>
    <row r="12" spans="1:10" x14ac:dyDescent="0.2">
      <c r="A12" t="s">
        <v>97</v>
      </c>
      <c r="B12" t="s">
        <v>139</v>
      </c>
      <c r="C12" t="s">
        <v>141</v>
      </c>
      <c r="D12" t="s">
        <v>242</v>
      </c>
      <c r="E12" t="s">
        <v>361</v>
      </c>
      <c r="F12" t="s">
        <v>423</v>
      </c>
      <c r="G12" t="s">
        <v>504</v>
      </c>
    </row>
    <row r="13" spans="1:10" x14ac:dyDescent="0.2">
      <c r="A13" t="s">
        <v>339</v>
      </c>
      <c r="B13" t="s">
        <v>338</v>
      </c>
      <c r="C13" t="s">
        <v>318</v>
      </c>
      <c r="D13" t="s">
        <v>317</v>
      </c>
      <c r="E13" t="s">
        <v>386</v>
      </c>
      <c r="F13" t="s">
        <v>424</v>
      </c>
    </row>
    <row r="14" spans="1:10" ht="26.25" x14ac:dyDescent="0.4">
      <c r="A14" s="2" t="s">
        <v>19</v>
      </c>
      <c r="B14" s="2" t="s">
        <v>19</v>
      </c>
      <c r="C14" s="2" t="s">
        <v>142</v>
      </c>
      <c r="D14" s="2" t="s">
        <v>19</v>
      </c>
      <c r="E14" s="2"/>
      <c r="F14" s="2" t="s">
        <v>425</v>
      </c>
      <c r="G14" s="2" t="s">
        <v>500</v>
      </c>
      <c r="J14" s="6"/>
    </row>
    <row r="15" spans="1:10" x14ac:dyDescent="0.2">
      <c r="A15" t="s">
        <v>21</v>
      </c>
      <c r="B15" t="s">
        <v>143</v>
      </c>
      <c r="C15" t="s">
        <v>144</v>
      </c>
      <c r="D15" t="s">
        <v>521</v>
      </c>
      <c r="E15" t="s">
        <v>362</v>
      </c>
      <c r="F15" t="s">
        <v>426</v>
      </c>
    </row>
    <row r="16" spans="1:10" x14ac:dyDescent="0.2">
      <c r="A16" t="s">
        <v>216</v>
      </c>
      <c r="B16" t="s">
        <v>145</v>
      </c>
      <c r="C16" t="s">
        <v>146</v>
      </c>
      <c r="D16" t="s">
        <v>216</v>
      </c>
      <c r="E16" t="s">
        <v>363</v>
      </c>
      <c r="F16" t="s">
        <v>427</v>
      </c>
    </row>
    <row r="17" spans="1:7" x14ac:dyDescent="0.2">
      <c r="A17" t="s">
        <v>22</v>
      </c>
      <c r="B17" t="s">
        <v>350</v>
      </c>
      <c r="C17" t="s">
        <v>147</v>
      </c>
      <c r="D17" t="s">
        <v>243</v>
      </c>
      <c r="E17" t="s">
        <v>364</v>
      </c>
      <c r="F17" t="s">
        <v>428</v>
      </c>
      <c r="G17" t="s">
        <v>508</v>
      </c>
    </row>
    <row r="18" spans="1:7" x14ac:dyDescent="0.2">
      <c r="A18" t="s">
        <v>23</v>
      </c>
      <c r="B18" s="18" t="s">
        <v>148</v>
      </c>
      <c r="C18" t="s">
        <v>152</v>
      </c>
      <c r="D18" t="s">
        <v>244</v>
      </c>
      <c r="E18" t="s">
        <v>365</v>
      </c>
      <c r="F18" t="s">
        <v>429</v>
      </c>
    </row>
    <row r="19" spans="1:7" x14ac:dyDescent="0.2">
      <c r="A19" t="s">
        <v>190</v>
      </c>
      <c r="B19" s="15" t="s">
        <v>154</v>
      </c>
      <c r="C19" t="s">
        <v>155</v>
      </c>
      <c r="D19" t="s">
        <v>245</v>
      </c>
      <c r="E19" t="s">
        <v>390</v>
      </c>
      <c r="F19" t="s">
        <v>430</v>
      </c>
      <c r="G19" t="s">
        <v>509</v>
      </c>
    </row>
    <row r="20" spans="1:7" x14ac:dyDescent="0.2">
      <c r="A20" t="s">
        <v>189</v>
      </c>
      <c r="B20" s="15" t="s">
        <v>150</v>
      </c>
      <c r="C20" t="s">
        <v>151</v>
      </c>
      <c r="D20" t="s">
        <v>246</v>
      </c>
      <c r="E20" t="s">
        <v>389</v>
      </c>
      <c r="F20" t="s">
        <v>431</v>
      </c>
    </row>
    <row r="21" spans="1:7" x14ac:dyDescent="0.2">
      <c r="A21" t="s">
        <v>349</v>
      </c>
      <c r="B21" s="15" t="s">
        <v>153</v>
      </c>
      <c r="C21" t="s">
        <v>221</v>
      </c>
      <c r="D21" t="s">
        <v>247</v>
      </c>
      <c r="E21" t="s">
        <v>387</v>
      </c>
      <c r="F21" t="s">
        <v>432</v>
      </c>
    </row>
    <row r="22" spans="1:7" x14ac:dyDescent="0.2">
      <c r="A22" t="s">
        <v>191</v>
      </c>
      <c r="B22" s="15" t="s">
        <v>149</v>
      </c>
      <c r="C22" t="s">
        <v>220</v>
      </c>
      <c r="D22" t="s">
        <v>309</v>
      </c>
      <c r="E22" t="s">
        <v>388</v>
      </c>
      <c r="F22" t="s">
        <v>433</v>
      </c>
      <c r="G22" t="s">
        <v>501</v>
      </c>
    </row>
    <row r="23" spans="1:7" x14ac:dyDescent="0.2">
      <c r="A23" t="s">
        <v>78</v>
      </c>
      <c r="B23" s="15" t="s">
        <v>156</v>
      </c>
      <c r="C23" s="15" t="s">
        <v>157</v>
      </c>
      <c r="D23" t="s">
        <v>248</v>
      </c>
      <c r="E23" t="s">
        <v>366</v>
      </c>
      <c r="F23" t="s">
        <v>434</v>
      </c>
    </row>
    <row r="24" spans="1:7" x14ac:dyDescent="0.2">
      <c r="A24" t="s">
        <v>351</v>
      </c>
      <c r="B24" s="15" t="s">
        <v>352</v>
      </c>
      <c r="C24" t="s">
        <v>319</v>
      </c>
      <c r="D24" t="s">
        <v>353</v>
      </c>
      <c r="E24" t="s">
        <v>382</v>
      </c>
      <c r="F24" t="s">
        <v>435</v>
      </c>
    </row>
    <row r="25" spans="1:7" x14ac:dyDescent="0.2">
      <c r="A25" t="s">
        <v>67</v>
      </c>
      <c r="B25" t="s">
        <v>303</v>
      </c>
      <c r="C25" t="s">
        <v>158</v>
      </c>
      <c r="D25" t="s">
        <v>249</v>
      </c>
      <c r="E25" t="s">
        <v>383</v>
      </c>
      <c r="F25" t="s">
        <v>436</v>
      </c>
    </row>
    <row r="26" spans="1:7" x14ac:dyDescent="0.2">
      <c r="A26" t="s">
        <v>188</v>
      </c>
      <c r="B26" t="s">
        <v>305</v>
      </c>
      <c r="C26" t="s">
        <v>159</v>
      </c>
      <c r="D26" t="s">
        <v>250</v>
      </c>
      <c r="E26" t="s">
        <v>384</v>
      </c>
      <c r="F26" t="s">
        <v>437</v>
      </c>
      <c r="G26" t="s">
        <v>502</v>
      </c>
    </row>
    <row r="27" spans="1:7" x14ac:dyDescent="0.2">
      <c r="A27" t="s">
        <v>68</v>
      </c>
      <c r="B27" t="s">
        <v>304</v>
      </c>
      <c r="C27" t="s">
        <v>306</v>
      </c>
      <c r="D27" t="s">
        <v>251</v>
      </c>
      <c r="E27" t="s">
        <v>385</v>
      </c>
      <c r="F27" t="s">
        <v>438</v>
      </c>
    </row>
    <row r="28" spans="1:7" x14ac:dyDescent="0.2">
      <c r="A28" t="s">
        <v>524</v>
      </c>
      <c r="B28" t="s">
        <v>311</v>
      </c>
      <c r="C28" t="s">
        <v>222</v>
      </c>
      <c r="D28" t="s">
        <v>525</v>
      </c>
      <c r="E28" t="s">
        <v>391</v>
      </c>
      <c r="F28" t="s">
        <v>439</v>
      </c>
    </row>
    <row r="29" spans="1:7" x14ac:dyDescent="0.2">
      <c r="A29" s="18" t="s">
        <v>324</v>
      </c>
      <c r="B29" t="s">
        <v>337</v>
      </c>
      <c r="C29" s="18" t="s">
        <v>529</v>
      </c>
      <c r="D29" t="s">
        <v>255</v>
      </c>
      <c r="E29" t="s">
        <v>379</v>
      </c>
      <c r="F29" t="s">
        <v>440</v>
      </c>
    </row>
    <row r="30" spans="1:7" x14ac:dyDescent="0.2">
      <c r="A30" t="s">
        <v>519</v>
      </c>
      <c r="B30" t="s">
        <v>520</v>
      </c>
      <c r="C30" t="s">
        <v>345</v>
      </c>
      <c r="D30" t="s">
        <v>308</v>
      </c>
      <c r="E30" t="s">
        <v>380</v>
      </c>
      <c r="F30" t="s">
        <v>441</v>
      </c>
    </row>
    <row r="32" spans="1:7" x14ac:dyDescent="0.2">
      <c r="A32" s="5" t="s">
        <v>66</v>
      </c>
      <c r="B32" t="s">
        <v>161</v>
      </c>
      <c r="C32" t="s">
        <v>160</v>
      </c>
      <c r="D32" s="5" t="s">
        <v>66</v>
      </c>
      <c r="E32" s="5" t="s">
        <v>367</v>
      </c>
      <c r="F32" s="5" t="s">
        <v>442</v>
      </c>
      <c r="G32" s="5"/>
    </row>
    <row r="33" spans="1:10" x14ac:dyDescent="0.2">
      <c r="A33" s="5" t="s">
        <v>217</v>
      </c>
      <c r="B33" s="5" t="s">
        <v>336</v>
      </c>
      <c r="C33" s="5" t="s">
        <v>223</v>
      </c>
      <c r="D33" s="5" t="s">
        <v>507</v>
      </c>
      <c r="E33" s="5" t="s">
        <v>368</v>
      </c>
      <c r="F33" s="5" t="s">
        <v>443</v>
      </c>
      <c r="G33" s="5"/>
    </row>
    <row r="34" spans="1:10" ht="15.75" x14ac:dyDescent="0.25">
      <c r="A34" s="43" t="s">
        <v>240</v>
      </c>
      <c r="B34" s="43" t="s">
        <v>233</v>
      </c>
      <c r="C34" s="43" t="s">
        <v>239</v>
      </c>
      <c r="D34" s="43" t="s">
        <v>266</v>
      </c>
      <c r="E34" s="43" t="s">
        <v>369</v>
      </c>
      <c r="F34" s="43" t="s">
        <v>444</v>
      </c>
      <c r="G34" s="43"/>
    </row>
    <row r="35" spans="1:10" ht="26.25" x14ac:dyDescent="0.4">
      <c r="A35" s="2" t="s">
        <v>16</v>
      </c>
      <c r="B35" s="2" t="s">
        <v>162</v>
      </c>
      <c r="C35" s="2" t="s">
        <v>526</v>
      </c>
      <c r="D35" s="2" t="s">
        <v>16</v>
      </c>
      <c r="E35" s="2"/>
      <c r="F35" s="2" t="s">
        <v>445</v>
      </c>
      <c r="G35" s="2"/>
    </row>
    <row r="36" spans="1:10" ht="15.75" x14ac:dyDescent="0.3">
      <c r="A36" s="15" t="s">
        <v>275</v>
      </c>
      <c r="B36" s="15" t="s">
        <v>227</v>
      </c>
      <c r="C36" s="15" t="s">
        <v>276</v>
      </c>
      <c r="D36" s="15" t="s">
        <v>275</v>
      </c>
      <c r="E36" s="15" t="s">
        <v>377</v>
      </c>
      <c r="F36" s="15" t="s">
        <v>446</v>
      </c>
      <c r="G36" s="15"/>
    </row>
    <row r="37" spans="1:10" x14ac:dyDescent="0.2">
      <c r="A37" s="26" t="s">
        <v>341</v>
      </c>
      <c r="B37" s="26" t="s">
        <v>342</v>
      </c>
      <c r="C37" s="26" t="s">
        <v>343</v>
      </c>
      <c r="D37" s="26" t="s">
        <v>344</v>
      </c>
      <c r="E37" s="26" t="s">
        <v>378</v>
      </c>
      <c r="F37" s="26" t="s">
        <v>447</v>
      </c>
      <c r="G37" s="26"/>
    </row>
    <row r="38" spans="1:10" x14ac:dyDescent="0.2">
      <c r="A38" t="s">
        <v>286</v>
      </c>
      <c r="B38" t="s">
        <v>228</v>
      </c>
      <c r="C38" t="s">
        <v>285</v>
      </c>
      <c r="D38" t="s">
        <v>287</v>
      </c>
      <c r="E38" t="s">
        <v>381</v>
      </c>
      <c r="F38" t="s">
        <v>448</v>
      </c>
    </row>
    <row r="39" spans="1:10" x14ac:dyDescent="0.2">
      <c r="A39" s="18" t="s">
        <v>302</v>
      </c>
      <c r="B39" t="s">
        <v>301</v>
      </c>
      <c r="C39" t="s">
        <v>302</v>
      </c>
      <c r="D39" t="s">
        <v>302</v>
      </c>
      <c r="E39" t="s">
        <v>371</v>
      </c>
      <c r="F39" t="s">
        <v>449</v>
      </c>
    </row>
    <row r="40" spans="1:10" x14ac:dyDescent="0.2">
      <c r="A40" t="s">
        <v>17</v>
      </c>
      <c r="B40" t="s">
        <v>163</v>
      </c>
      <c r="C40" t="s">
        <v>224</v>
      </c>
      <c r="D40" t="s">
        <v>252</v>
      </c>
      <c r="E40" t="s">
        <v>372</v>
      </c>
      <c r="F40" t="s">
        <v>450</v>
      </c>
    </row>
    <row r="41" spans="1:10" x14ac:dyDescent="0.2">
      <c r="A41" t="s">
        <v>69</v>
      </c>
      <c r="B41" t="s">
        <v>164</v>
      </c>
      <c r="C41" t="s">
        <v>159</v>
      </c>
      <c r="D41" t="s">
        <v>250</v>
      </c>
      <c r="E41" t="s">
        <v>373</v>
      </c>
      <c r="F41" t="s">
        <v>451</v>
      </c>
      <c r="J41" s="6"/>
    </row>
    <row r="42" spans="1:10" x14ac:dyDescent="0.2">
      <c r="A42" t="s">
        <v>18</v>
      </c>
      <c r="B42" t="s">
        <v>165</v>
      </c>
      <c r="C42" t="s">
        <v>166</v>
      </c>
      <c r="D42" t="s">
        <v>253</v>
      </c>
      <c r="E42" t="s">
        <v>374</v>
      </c>
      <c r="F42" t="s">
        <v>452</v>
      </c>
      <c r="J42" s="6"/>
    </row>
    <row r="43" spans="1:10" x14ac:dyDescent="0.2">
      <c r="A43" t="s">
        <v>53</v>
      </c>
      <c r="B43" t="s">
        <v>167</v>
      </c>
      <c r="C43" t="s">
        <v>168</v>
      </c>
      <c r="D43" t="s">
        <v>254</v>
      </c>
      <c r="E43" t="s">
        <v>375</v>
      </c>
      <c r="F43" t="s">
        <v>453</v>
      </c>
      <c r="J43" s="6"/>
    </row>
    <row r="44" spans="1:10" x14ac:dyDescent="0.2">
      <c r="A44" t="s">
        <v>518</v>
      </c>
      <c r="B44" t="s">
        <v>235</v>
      </c>
      <c r="C44" t="s">
        <v>225</v>
      </c>
      <c r="D44" t="s">
        <v>506</v>
      </c>
      <c r="E44" t="s">
        <v>376</v>
      </c>
      <c r="F44" t="s">
        <v>454</v>
      </c>
    </row>
    <row r="48" spans="1:10" x14ac:dyDescent="0.2">
      <c r="A48" s="6"/>
    </row>
    <row r="49" spans="1:7" ht="26.25" x14ac:dyDescent="0.4">
      <c r="A49" s="2" t="s">
        <v>192</v>
      </c>
      <c r="B49" s="2" t="s">
        <v>169</v>
      </c>
      <c r="C49" s="2" t="s">
        <v>170</v>
      </c>
      <c r="D49" s="2" t="s">
        <v>256</v>
      </c>
      <c r="E49" s="2" t="s">
        <v>392</v>
      </c>
      <c r="F49" s="2" t="s">
        <v>455</v>
      </c>
      <c r="G49" s="2"/>
    </row>
    <row r="50" spans="1:7" x14ac:dyDescent="0.2">
      <c r="A50" t="s">
        <v>25</v>
      </c>
      <c r="B50" t="s">
        <v>171</v>
      </c>
      <c r="C50" s="15" t="s">
        <v>173</v>
      </c>
      <c r="D50" t="s">
        <v>257</v>
      </c>
      <c r="E50" t="s">
        <v>393</v>
      </c>
      <c r="F50" t="s">
        <v>456</v>
      </c>
    </row>
    <row r="51" spans="1:7" x14ac:dyDescent="0.2">
      <c r="C51" s="15"/>
    </row>
    <row r="52" spans="1:7" x14ac:dyDescent="0.2">
      <c r="A52" t="s">
        <v>32</v>
      </c>
      <c r="B52" t="s">
        <v>312</v>
      </c>
      <c r="C52" s="15" t="s">
        <v>174</v>
      </c>
      <c r="D52" t="s">
        <v>258</v>
      </c>
      <c r="E52" t="s">
        <v>394</v>
      </c>
      <c r="F52" t="s">
        <v>457</v>
      </c>
    </row>
    <row r="53" spans="1:7" ht="15.75" x14ac:dyDescent="0.3">
      <c r="A53" t="s">
        <v>193</v>
      </c>
      <c r="B53" t="s">
        <v>172</v>
      </c>
      <c r="C53" s="15" t="s">
        <v>175</v>
      </c>
      <c r="D53" t="s">
        <v>259</v>
      </c>
      <c r="E53" t="s">
        <v>412</v>
      </c>
      <c r="F53" t="s">
        <v>458</v>
      </c>
    </row>
    <row r="54" spans="1:7" x14ac:dyDescent="0.2">
      <c r="A54" t="s">
        <v>26</v>
      </c>
      <c r="B54" t="s">
        <v>313</v>
      </c>
      <c r="C54" s="15" t="s">
        <v>176</v>
      </c>
      <c r="D54" t="s">
        <v>522</v>
      </c>
      <c r="E54" t="s">
        <v>395</v>
      </c>
      <c r="F54" t="s">
        <v>26</v>
      </c>
    </row>
    <row r="55" spans="1:7" x14ac:dyDescent="0.2">
      <c r="C55" s="15"/>
    </row>
    <row r="56" spans="1:7" ht="26.25" x14ac:dyDescent="0.4">
      <c r="A56" s="2" t="s">
        <v>83</v>
      </c>
      <c r="B56" s="2" t="s">
        <v>186</v>
      </c>
      <c r="C56" s="2" t="s">
        <v>187</v>
      </c>
      <c r="D56" s="2" t="s">
        <v>260</v>
      </c>
      <c r="E56" s="2" t="s">
        <v>413</v>
      </c>
      <c r="F56" s="2" t="s">
        <v>459</v>
      </c>
      <c r="G56" s="2"/>
    </row>
    <row r="57" spans="1:7" x14ac:dyDescent="0.2">
      <c r="A57" t="s">
        <v>85</v>
      </c>
      <c r="B57" t="s">
        <v>314</v>
      </c>
      <c r="C57" s="15" t="s">
        <v>177</v>
      </c>
      <c r="D57" t="s">
        <v>307</v>
      </c>
      <c r="E57" t="s">
        <v>396</v>
      </c>
      <c r="F57" t="s">
        <v>460</v>
      </c>
    </row>
    <row r="58" spans="1:7" x14ac:dyDescent="0.2">
      <c r="A58" t="s">
        <v>218</v>
      </c>
      <c r="B58" t="s">
        <v>315</v>
      </c>
      <c r="C58" s="15" t="s">
        <v>320</v>
      </c>
      <c r="D58" t="s">
        <v>261</v>
      </c>
      <c r="E58" t="s">
        <v>397</v>
      </c>
      <c r="F58" t="s">
        <v>461</v>
      </c>
    </row>
    <row r="59" spans="1:7" x14ac:dyDescent="0.2">
      <c r="A59" t="s">
        <v>481</v>
      </c>
      <c r="B59" t="s">
        <v>322</v>
      </c>
      <c r="C59" s="15" t="s">
        <v>178</v>
      </c>
      <c r="D59" t="s">
        <v>262</v>
      </c>
      <c r="E59" t="s">
        <v>398</v>
      </c>
      <c r="F59" t="s">
        <v>462</v>
      </c>
    </row>
    <row r="60" spans="1:7" x14ac:dyDescent="0.2">
      <c r="A60" t="s">
        <v>179</v>
      </c>
      <c r="B60" t="s">
        <v>323</v>
      </c>
      <c r="C60" s="15" t="s">
        <v>179</v>
      </c>
      <c r="D60" t="s">
        <v>179</v>
      </c>
      <c r="E60" t="s">
        <v>399</v>
      </c>
      <c r="F60" t="s">
        <v>463</v>
      </c>
    </row>
    <row r="61" spans="1:7" x14ac:dyDescent="0.2">
      <c r="A61" t="s">
        <v>96</v>
      </c>
      <c r="B61" t="s">
        <v>316</v>
      </c>
      <c r="C61" s="15" t="s">
        <v>321</v>
      </c>
      <c r="D61" t="s">
        <v>260</v>
      </c>
      <c r="E61" t="s">
        <v>401</v>
      </c>
      <c r="F61" t="s">
        <v>464</v>
      </c>
    </row>
    <row r="62" spans="1:7" x14ac:dyDescent="0.2">
      <c r="A62" t="s">
        <v>329</v>
      </c>
      <c r="B62" t="s">
        <v>332</v>
      </c>
      <c r="C62" s="15" t="s">
        <v>331</v>
      </c>
      <c r="D62" t="s">
        <v>330</v>
      </c>
      <c r="E62" t="s">
        <v>400</v>
      </c>
      <c r="F62" t="s">
        <v>465</v>
      </c>
    </row>
    <row r="63" spans="1:7" x14ac:dyDescent="0.2">
      <c r="A63" t="s">
        <v>288</v>
      </c>
      <c r="B63" t="s">
        <v>229</v>
      </c>
      <c r="C63" t="s">
        <v>292</v>
      </c>
      <c r="D63" t="s">
        <v>296</v>
      </c>
      <c r="E63" t="s">
        <v>402</v>
      </c>
      <c r="F63" t="s">
        <v>466</v>
      </c>
    </row>
    <row r="64" spans="1:7" x14ac:dyDescent="0.2">
      <c r="A64" t="s">
        <v>289</v>
      </c>
      <c r="B64" t="s">
        <v>230</v>
      </c>
      <c r="C64" t="s">
        <v>293</v>
      </c>
      <c r="D64" t="s">
        <v>297</v>
      </c>
      <c r="E64" t="s">
        <v>403</v>
      </c>
      <c r="F64" t="s">
        <v>467</v>
      </c>
    </row>
    <row r="65" spans="1:7" x14ac:dyDescent="0.2">
      <c r="A65" t="s">
        <v>201</v>
      </c>
      <c r="B65" t="s">
        <v>201</v>
      </c>
      <c r="C65" t="s">
        <v>201</v>
      </c>
      <c r="D65" t="s">
        <v>298</v>
      </c>
      <c r="E65" s="18" t="s">
        <v>201</v>
      </c>
      <c r="F65" s="44" t="s">
        <v>468</v>
      </c>
      <c r="G65" s="109"/>
    </row>
    <row r="66" spans="1:7" x14ac:dyDescent="0.2">
      <c r="A66" t="s">
        <v>290</v>
      </c>
      <c r="B66" t="s">
        <v>231</v>
      </c>
      <c r="C66" t="s">
        <v>294</v>
      </c>
      <c r="D66" t="s">
        <v>299</v>
      </c>
      <c r="E66" t="s">
        <v>404</v>
      </c>
      <c r="F66" t="s">
        <v>469</v>
      </c>
    </row>
    <row r="67" spans="1:7" x14ac:dyDescent="0.2">
      <c r="A67" t="s">
        <v>291</v>
      </c>
      <c r="B67" t="s">
        <v>232</v>
      </c>
      <c r="C67" t="s">
        <v>295</v>
      </c>
      <c r="D67" t="s">
        <v>300</v>
      </c>
      <c r="E67" t="s">
        <v>405</v>
      </c>
      <c r="F67" t="s">
        <v>470</v>
      </c>
    </row>
    <row r="68" spans="1:7" x14ac:dyDescent="0.2">
      <c r="A68" t="s">
        <v>11</v>
      </c>
      <c r="B68" t="s">
        <v>11</v>
      </c>
      <c r="C68" t="s">
        <v>11</v>
      </c>
      <c r="D68" t="s">
        <v>11</v>
      </c>
      <c r="E68" t="s">
        <v>406</v>
      </c>
      <c r="F68" t="s">
        <v>471</v>
      </c>
    </row>
    <row r="69" spans="1:7" x14ac:dyDescent="0.2">
      <c r="C69" s="6"/>
    </row>
    <row r="70" spans="1:7" x14ac:dyDescent="0.2">
      <c r="C70" s="6"/>
    </row>
    <row r="71" spans="1:7" x14ac:dyDescent="0.2">
      <c r="C71" s="6"/>
    </row>
    <row r="72" spans="1:7" ht="23.25" x14ac:dyDescent="0.35">
      <c r="A72" s="21" t="s">
        <v>278</v>
      </c>
      <c r="B72" s="21" t="s">
        <v>234</v>
      </c>
      <c r="C72" s="21" t="s">
        <v>532</v>
      </c>
      <c r="D72" s="21" t="s">
        <v>277</v>
      </c>
      <c r="E72" s="21" t="s">
        <v>370</v>
      </c>
      <c r="F72" s="21" t="s">
        <v>472</v>
      </c>
      <c r="G72" s="21"/>
    </row>
    <row r="74" spans="1:7" x14ac:dyDescent="0.2">
      <c r="A74" t="s">
        <v>13</v>
      </c>
      <c r="B74" t="s">
        <v>180</v>
      </c>
      <c r="C74" t="s">
        <v>183</v>
      </c>
      <c r="D74" t="s">
        <v>263</v>
      </c>
      <c r="E74" t="s">
        <v>409</v>
      </c>
      <c r="F74" t="s">
        <v>473</v>
      </c>
    </row>
    <row r="75" spans="1:7" x14ac:dyDescent="0.2">
      <c r="A75" t="s">
        <v>14</v>
      </c>
      <c r="B75" t="s">
        <v>181</v>
      </c>
      <c r="C75" t="s">
        <v>184</v>
      </c>
      <c r="D75" t="s">
        <v>264</v>
      </c>
      <c r="E75" t="s">
        <v>410</v>
      </c>
      <c r="F75" t="s">
        <v>474</v>
      </c>
    </row>
    <row r="76" spans="1:7" x14ac:dyDescent="0.2">
      <c r="A76" t="s">
        <v>15</v>
      </c>
      <c r="B76" t="s">
        <v>182</v>
      </c>
      <c r="C76" t="s">
        <v>185</v>
      </c>
      <c r="D76" t="s">
        <v>265</v>
      </c>
      <c r="E76" t="s">
        <v>411</v>
      </c>
      <c r="F76" t="s">
        <v>475</v>
      </c>
    </row>
    <row r="78" spans="1:7" x14ac:dyDescent="0.2">
      <c r="A78" t="s">
        <v>279</v>
      </c>
      <c r="B78" t="s">
        <v>280</v>
      </c>
      <c r="C78" s="18" t="s">
        <v>281</v>
      </c>
      <c r="D78" t="s">
        <v>523</v>
      </c>
      <c r="E78" t="s">
        <v>407</v>
      </c>
      <c r="F78" t="s">
        <v>476</v>
      </c>
    </row>
    <row r="83" spans="1:1" x14ac:dyDescent="0.2">
      <c r="A83" s="110"/>
    </row>
    <row r="84" spans="1:1" x14ac:dyDescent="0.2">
      <c r="A84" s="110"/>
    </row>
    <row r="85" spans="1:1" x14ac:dyDescent="0.2">
      <c r="A85" s="110"/>
    </row>
    <row r="86" spans="1:1" x14ac:dyDescent="0.2">
      <c r="A86" s="110"/>
    </row>
    <row r="87" spans="1:1" x14ac:dyDescent="0.2">
      <c r="A87" s="110"/>
    </row>
    <row r="88" spans="1:1" x14ac:dyDescent="0.2">
      <c r="A88" s="110"/>
    </row>
    <row r="89" spans="1:1" x14ac:dyDescent="0.2">
      <c r="A89" s="111"/>
    </row>
    <row r="90" spans="1:1" x14ac:dyDescent="0.2">
      <c r="A90" s="15"/>
    </row>
  </sheetData>
  <sheetProtection algorithmName="SHA-512" hashValue="ECFP4tJbScXOIEhPPFGM5IUB1jRhUiD7RDYFt7MNqrZCf+Gvm/2YUilP1CmPN73kohNjYEegtm3QAk7L0W9kpw==" saltValue="i4uG2cWfobmsIKZPJRcWFQ==" spinCount="100000" sheet="1" objects="1" scenarios="1"/>
  <phoneticPr fontId="0" type="noConversion"/>
  <pageMargins left="0.78740157499999996" right="0.78740157499999996" top="0.984251969" bottom="0.984251969" header="0.5" footer="0.5"/>
  <pageSetup paperSize="9" scale="5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/>
  <dimension ref="A3:G13"/>
  <sheetViews>
    <sheetView workbookViewId="0">
      <selection activeCell="E37" sqref="E37"/>
    </sheetView>
  </sheetViews>
  <sheetFormatPr baseColWidth="10" defaultColWidth="9.140625" defaultRowHeight="12.75" x14ac:dyDescent="0.2"/>
  <sheetData>
    <row r="3" spans="1:7" ht="15.75" x14ac:dyDescent="0.3">
      <c r="A3" t="s">
        <v>203</v>
      </c>
      <c r="C3" t="s">
        <v>204</v>
      </c>
      <c r="D3" s="4">
        <f>'VSR-Dimensionerung'!G17^0.63*'VSR-Dimensionerung'!E23*8.5</f>
        <v>77.262999030417419</v>
      </c>
      <c r="F3" t="s">
        <v>212</v>
      </c>
      <c r="G3" s="3">
        <f>'VSR-Dimensionerung'!G17/Lydberegning!D3*0.16</f>
        <v>1.3978230376157392</v>
      </c>
    </row>
    <row r="5" spans="1:7" x14ac:dyDescent="0.2">
      <c r="C5" t="s">
        <v>205</v>
      </c>
      <c r="D5" t="s">
        <v>206</v>
      </c>
    </row>
    <row r="7" spans="1:7" x14ac:dyDescent="0.2">
      <c r="A7" t="s">
        <v>207</v>
      </c>
      <c r="D7">
        <f>'Beregning ex1-3'!D23</f>
        <v>0.74999999999999978</v>
      </c>
    </row>
    <row r="9" spans="1:7" ht="15.75" x14ac:dyDescent="0.3">
      <c r="C9" t="s">
        <v>208</v>
      </c>
    </row>
    <row r="11" spans="1:7" x14ac:dyDescent="0.2">
      <c r="C11" t="s">
        <v>209</v>
      </c>
      <c r="D11" s="3">
        <f>10*LOG(2/4/PI()/$D$7^2 + 4*'VSR-Dimensionerung'!E37/Lydberegning!$D$3)</f>
        <v>-4.7532697243459241</v>
      </c>
      <c r="E11" s="3">
        <f>10*LOG(2/4/PI()/$D$7^2 + 4*'VSR-Dimensionerung'!F37/Lydberegning!$D$3)</f>
        <v>-4.7532697243459241</v>
      </c>
      <c r="F11" s="3">
        <f>10*LOG(2/4/PI()/$D$7^2 + 4*'VSR-Dimensionerung'!G37/Lydberegning!$D$3)</f>
        <v>-4.7532697243459241</v>
      </c>
    </row>
    <row r="13" spans="1:7" x14ac:dyDescent="0.2">
      <c r="C13" t="s">
        <v>210</v>
      </c>
      <c r="D13" s="4">
        <f>'VSR-Dimensionerung'!L39+Lydberegning!D11</f>
        <v>10.794190018443132</v>
      </c>
      <c r="E13" s="4">
        <f>'VSR-Dimensionerung'!M39+Lydberegning!E11</f>
        <v>-7.6788417910635172</v>
      </c>
      <c r="F13" s="4">
        <f>'VSR-Dimensionerung'!N39+Lydberegning!F11</f>
        <v>-33.17227586706975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">
    <pageSetUpPr fitToPage="1"/>
  </sheetPr>
  <dimension ref="B2:O83"/>
  <sheetViews>
    <sheetView showGridLines="0" tabSelected="1" showWhiteSpace="0" view="pageLayout" zoomScaleNormal="175" zoomScaleSheetLayoutView="115" workbookViewId="0">
      <selection activeCell="C46" sqref="C46:D46"/>
    </sheetView>
  </sheetViews>
  <sheetFormatPr baseColWidth="10" defaultColWidth="9.140625" defaultRowHeight="12.75" x14ac:dyDescent="0.2"/>
  <cols>
    <col min="1" max="1" width="5.5703125" customWidth="1"/>
    <col min="2" max="2" width="4.28515625" customWidth="1"/>
    <col min="3" max="3" width="30.28515625" customWidth="1"/>
    <col min="5" max="7" width="10.7109375" customWidth="1"/>
    <col min="8" max="8" width="2.140625" customWidth="1"/>
    <col min="9" max="9" width="12.42578125" customWidth="1"/>
    <col min="10" max="10" width="13.28515625" style="6" customWidth="1"/>
    <col min="11" max="11" width="7.5703125" style="6" customWidth="1"/>
    <col min="12" max="14" width="6.7109375" customWidth="1"/>
    <col min="15" max="15" width="2.85546875" customWidth="1"/>
  </cols>
  <sheetData>
    <row r="2" spans="2:15" x14ac:dyDescent="0.2">
      <c r="B2" s="79"/>
      <c r="C2" s="80"/>
      <c r="D2" s="80"/>
      <c r="E2" s="80"/>
      <c r="F2" s="80"/>
      <c r="G2" s="80"/>
      <c r="H2" s="80"/>
      <c r="I2" s="80"/>
      <c r="J2" s="81"/>
      <c r="K2" s="81"/>
      <c r="L2" s="80"/>
      <c r="M2" s="80"/>
      <c r="N2" s="80"/>
      <c r="O2" s="82"/>
    </row>
    <row r="3" spans="2:15" x14ac:dyDescent="0.2">
      <c r="B3" s="83"/>
      <c r="O3" s="84"/>
    </row>
    <row r="4" spans="2:15" x14ac:dyDescent="0.2">
      <c r="B4" s="83"/>
      <c r="O4" s="84"/>
    </row>
    <row r="5" spans="2:15" x14ac:dyDescent="0.2">
      <c r="B5" s="83"/>
      <c r="O5" s="84"/>
    </row>
    <row r="6" spans="2:15" x14ac:dyDescent="0.2">
      <c r="B6" s="83"/>
      <c r="O6" s="84"/>
    </row>
    <row r="7" spans="2:15" ht="23.25" x14ac:dyDescent="0.35">
      <c r="B7" s="83"/>
      <c r="C7" s="21" t="str">
        <f>INDEX(Language!A4:G4,Language!$H$1)</f>
        <v>Dimensionierung Ventiduct - VSR</v>
      </c>
      <c r="D7" s="18"/>
      <c r="F7" s="46"/>
      <c r="H7" s="22"/>
      <c r="J7"/>
      <c r="O7" s="84"/>
    </row>
    <row r="8" spans="2:15" ht="18" customHeight="1" x14ac:dyDescent="0.2">
      <c r="B8" s="83"/>
      <c r="C8" s="105"/>
      <c r="E8" s="20"/>
      <c r="K8"/>
      <c r="O8" s="84"/>
    </row>
    <row r="9" spans="2:15" ht="18" customHeight="1" x14ac:dyDescent="0.2">
      <c r="B9" s="83"/>
      <c r="K9"/>
      <c r="O9" s="84"/>
    </row>
    <row r="10" spans="2:15" ht="24" customHeight="1" x14ac:dyDescent="0.2">
      <c r="B10" s="83"/>
      <c r="C10" s="45" t="str">
        <f>INDEX(Language!A2:G2,Language!$H$1)</f>
        <v>Sprache</v>
      </c>
      <c r="D10" s="45" t="str">
        <f>INDEX(Language!A78:G78,Language!$H$1)</f>
        <v>Einheit Flow</v>
      </c>
      <c r="O10" s="84"/>
    </row>
    <row r="11" spans="2:15" ht="15.75" thickBot="1" x14ac:dyDescent="0.25">
      <c r="B11" s="83"/>
      <c r="C11" s="22" t="str">
        <f>INDEX(Language!A8:G8,Language!$H$1)</f>
        <v>Projekt :</v>
      </c>
      <c r="L11" s="20" t="str">
        <f>INDEX(Language!A5:G5,Language!$H$1)</f>
        <v>Datum:</v>
      </c>
      <c r="M11" s="112">
        <f ca="1">NOW()</f>
        <v>45224.345675578705</v>
      </c>
      <c r="N11" s="112"/>
      <c r="O11" s="84"/>
    </row>
    <row r="12" spans="2:15" ht="18.75" thickBot="1" x14ac:dyDescent="0.3">
      <c r="B12" s="83"/>
      <c r="C12" s="127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O12" s="84"/>
    </row>
    <row r="13" spans="2:15" ht="18.75" thickBot="1" x14ac:dyDescent="0.3">
      <c r="B13" s="83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  <c r="O13" s="84"/>
    </row>
    <row r="14" spans="2:15" ht="18.75" thickBot="1" x14ac:dyDescent="0.3">
      <c r="B14" s="83"/>
      <c r="C14" s="130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2"/>
      <c r="O14" s="84"/>
    </row>
    <row r="15" spans="2:15" ht="27.75" customHeight="1" thickBot="1" x14ac:dyDescent="0.4">
      <c r="B15" s="83"/>
      <c r="C15" s="41" t="str">
        <f>INDEX( Language!A35:G35,Language!$H$1)</f>
        <v>Raumdaten:</v>
      </c>
      <c r="D15" s="6"/>
      <c r="E15" s="6"/>
      <c r="L15" s="38" t="s">
        <v>213</v>
      </c>
      <c r="M15" s="38" t="s">
        <v>214</v>
      </c>
      <c r="N15" s="38" t="s">
        <v>215</v>
      </c>
      <c r="O15" s="84"/>
    </row>
    <row r="16" spans="2:15" ht="15" thickBot="1" x14ac:dyDescent="0.25">
      <c r="B16" s="83"/>
      <c r="C16" s="31" t="str">
        <f>INDEX( Language!A40:G40,Language!$H$1)</f>
        <v>Länge  (parallel Ventiduct)</v>
      </c>
      <c r="D16" s="90">
        <v>15</v>
      </c>
      <c r="E16" s="19" t="s">
        <v>31</v>
      </c>
      <c r="F16" s="32" t="s">
        <v>527</v>
      </c>
      <c r="G16" s="47">
        <f>D16*D17</f>
        <v>225</v>
      </c>
      <c r="I16" s="64" t="str">
        <f>INDEX(Language!A24:G24,Language!$H$1)</f>
        <v>Aktiv belüftete Raumfläche</v>
      </c>
      <c r="J16" s="65"/>
      <c r="K16" s="66" t="s">
        <v>194</v>
      </c>
      <c r="L16" s="50">
        <f>L23*E39</f>
        <v>1</v>
      </c>
      <c r="M16" s="50">
        <f>M23*F39</f>
        <v>1</v>
      </c>
      <c r="N16" s="51">
        <f>N23*G39</f>
        <v>1</v>
      </c>
      <c r="O16" s="84"/>
    </row>
    <row r="17" spans="2:15" ht="17.25" thickBot="1" x14ac:dyDescent="0.25">
      <c r="B17" s="83"/>
      <c r="C17" s="33" t="str">
        <f>INDEX( Language!A41:G41,Language!$H$1)</f>
        <v xml:space="preserve">Breite </v>
      </c>
      <c r="D17" s="90">
        <v>15</v>
      </c>
      <c r="E17" t="s">
        <v>31</v>
      </c>
      <c r="F17" s="30" t="s">
        <v>528</v>
      </c>
      <c r="G17" s="48">
        <f>G16*D18</f>
        <v>675</v>
      </c>
      <c r="I17" s="67"/>
      <c r="J17" s="68" t="str">
        <f>INDEX( Language!A25:GD25,Language!$H$1)</f>
        <v xml:space="preserve">Fläche </v>
      </c>
      <c r="K17" s="69"/>
      <c r="L17" s="49" t="str">
        <f>IF(L16&gt;$G$16,"error","ok")</f>
        <v>ok</v>
      </c>
      <c r="M17" s="49" t="str">
        <f>IF(M16&gt;$G$16,"error","ok")</f>
        <v>ok</v>
      </c>
      <c r="N17" s="87" t="str">
        <f>IF(N16&gt;$G$16,"error","ok")</f>
        <v>ok</v>
      </c>
      <c r="O17" s="84"/>
    </row>
    <row r="18" spans="2:15" ht="15" thickBot="1" x14ac:dyDescent="0.25">
      <c r="B18" s="83"/>
      <c r="C18" s="33" t="str">
        <f>INDEX( Language!A42:G42,Language!$H$1)</f>
        <v>Höhe</v>
      </c>
      <c r="D18" s="90">
        <v>3</v>
      </c>
      <c r="E18" t="s">
        <v>31</v>
      </c>
      <c r="F18" s="113" t="str">
        <f>INDEX(Language!A29:G29,Language!$H$1)</f>
        <v xml:space="preserve">    UK Decke</v>
      </c>
      <c r="G18" s="114"/>
      <c r="I18" s="67"/>
      <c r="J18" s="68" t="str">
        <f>INDEX( Language!A26:G26,Language!$H$1)</f>
        <v xml:space="preserve">Breite </v>
      </c>
      <c r="K18" s="69"/>
      <c r="L18" s="49" t="str">
        <f>IF(E39*E37&gt;$D$17,"error","ok")</f>
        <v>ok</v>
      </c>
      <c r="M18" s="49" t="str">
        <f>IF(F39*F37&gt;$D$17,"error","ok")</f>
        <v>ok</v>
      </c>
      <c r="N18" s="87" t="str">
        <f>IF(G39*G37&gt;$D$17,"error","ok")</f>
        <v>ok</v>
      </c>
      <c r="O18" s="84"/>
    </row>
    <row r="19" spans="2:15" ht="15" thickBot="1" x14ac:dyDescent="0.25">
      <c r="B19" s="83"/>
      <c r="C19" s="33" t="str">
        <f>INDEX( Language!A43:G43,Language!$H$1)</f>
        <v>Höhe des Aufenthaltsbereiches</v>
      </c>
      <c r="D19" s="90">
        <v>1.8</v>
      </c>
      <c r="E19" s="18" t="s">
        <v>530</v>
      </c>
      <c r="F19" s="115" t="str">
        <f>INDEX(Language!A30:G30,Language!$H$1)</f>
        <v>Ok Rohr/Decke</v>
      </c>
      <c r="G19" s="116"/>
      <c r="I19" s="67"/>
      <c r="J19" s="68" t="str">
        <f>INDEX( Language!A27:G27,Language!$H$1)</f>
        <v>Länge</v>
      </c>
      <c r="K19" s="69"/>
      <c r="L19" s="49" t="str">
        <f>IF(E38&gt;$D$16,"error","ok")</f>
        <v>ok</v>
      </c>
      <c r="M19" s="49" t="str">
        <f>IF(F38&gt;$D$16,"error","ok")</f>
        <v>ok</v>
      </c>
      <c r="N19" s="87" t="str">
        <f>IF(G38&gt;$D$16,"error","ok")</f>
        <v>ok</v>
      </c>
      <c r="O19" s="84"/>
    </row>
    <row r="20" spans="2:15" ht="15" thickBot="1" x14ac:dyDescent="0.25">
      <c r="B20" s="83"/>
      <c r="C20" s="33" t="str">
        <f>INDEX( Language!A44:G44,Language!$H$1)</f>
        <v>Montagehöhe (Oberkante)</v>
      </c>
      <c r="D20" s="90">
        <v>2.8</v>
      </c>
      <c r="E20" t="s">
        <v>31</v>
      </c>
      <c r="F20" s="49" t="str">
        <f>IF(G20&lt;0.09999,"error","ok")</f>
        <v>ok</v>
      </c>
      <c r="G20" s="37">
        <f>$D$18-$D$20</f>
        <v>0.20000000000000018</v>
      </c>
      <c r="I20" s="67" t="str">
        <f>INDEX( Language!A13:G13,Language!$H$1)</f>
        <v>Max. Flow pr. m Ventiduct</v>
      </c>
      <c r="J20" s="68"/>
      <c r="K20" s="69" t="str">
        <f>INDEX('ventiduct-parameter'!B28:B29,'ventiduct-parameter'!$A$26)</f>
        <v>m3/(hm)</v>
      </c>
      <c r="L20" s="52">
        <f>'ventiduct-parameter'!J12</f>
        <v>60</v>
      </c>
      <c r="M20" s="52">
        <f>'ventiduct-parameter'!K12</f>
        <v>95</v>
      </c>
      <c r="N20" s="53">
        <f>'ventiduct-parameter'!L12</f>
        <v>195</v>
      </c>
      <c r="O20" s="84"/>
    </row>
    <row r="21" spans="2:15" ht="19.5" customHeight="1" thickBot="1" x14ac:dyDescent="0.25">
      <c r="B21" s="83"/>
      <c r="C21" s="33"/>
      <c r="G21" s="23"/>
      <c r="I21" s="67" t="str">
        <f>INDEX( Language!A21:G21,Language!$H$1)</f>
        <v>Flow pr. m Ventiduct</v>
      </c>
      <c r="J21" s="68"/>
      <c r="K21" s="69" t="str">
        <f>INDEX('ventiduct-parameter'!B28:B29,'ventiduct-parameter'!$A$26)</f>
        <v>m3/(hm)</v>
      </c>
      <c r="L21" s="54">
        <f>'Beregning ex1-3'!D2/L23*'ventiduct-parameter'!$F$26</f>
        <v>50</v>
      </c>
      <c r="M21" s="54">
        <f>'Beregning ex1-3'!E2/M23*'ventiduct-parameter'!$F$26</f>
        <v>50</v>
      </c>
      <c r="N21" s="55">
        <f>'Beregning ex1-3'!F2/N23*'ventiduct-parameter'!$F$26</f>
        <v>50</v>
      </c>
      <c r="O21" s="84"/>
    </row>
    <row r="22" spans="2:15" ht="17.25" customHeight="1" x14ac:dyDescent="0.2">
      <c r="B22" s="83"/>
      <c r="C22" s="33" t="str">
        <f>INDEX(Language!A36:G36,Language!$H$1)</f>
        <v>Nachhallzeit Ts</v>
      </c>
      <c r="D22" t="s">
        <v>219</v>
      </c>
      <c r="E22" s="27">
        <f>Lydberegning!G3</f>
        <v>1.3978230376157392</v>
      </c>
      <c r="F22" s="133" t="str">
        <f>INDEX(Language!A38:G38,Language!$H$1)</f>
        <v>Raumdämpfung</v>
      </c>
      <c r="G22" s="134"/>
      <c r="I22" s="67" t="str">
        <f>INDEX( Language!A22:G22,Language!$H$1)</f>
        <v>Kontrolle max. Flow pr. m</v>
      </c>
      <c r="J22" s="68"/>
      <c r="K22" s="69"/>
      <c r="L22" s="49" t="str">
        <f>IF(L20&lt;L21-0.5,"error","ok")</f>
        <v>ok</v>
      </c>
      <c r="M22" s="49" t="str">
        <f>IF(M20&lt;M21-0.5,"error","ok")</f>
        <v>ok</v>
      </c>
      <c r="N22" s="87" t="str">
        <f>IF(N20&lt;N21-0.5,"error","ok")</f>
        <v>ok</v>
      </c>
      <c r="O22" s="84"/>
    </row>
    <row r="23" spans="2:15" ht="20.25" customHeight="1" thickBot="1" x14ac:dyDescent="0.35">
      <c r="B23" s="83"/>
      <c r="C23" s="33" t="str">
        <f>INDEX(Language!A37:G37,Language!$H$1)</f>
        <v xml:space="preserve">Absorptionskoeffizient </v>
      </c>
      <c r="D23" s="26" t="s">
        <v>340</v>
      </c>
      <c r="E23" s="25">
        <f>IF('ventiduct-parameter'!A16=6,'ventiduct-parameter'!A19,'ventiduct-parameter'!C18)</f>
        <v>0.15</v>
      </c>
      <c r="F23" s="92"/>
      <c r="G23" s="91"/>
      <c r="I23" s="67" t="str">
        <f>INDEX( Language!A20:G20,Language!$H$1)</f>
        <v>Gesamtlänge Ventiduct</v>
      </c>
      <c r="J23" s="68"/>
      <c r="K23" s="69" t="s">
        <v>31</v>
      </c>
      <c r="L23" s="56">
        <f>E37*E38</f>
        <v>1</v>
      </c>
      <c r="M23" s="56">
        <f>F37*F38</f>
        <v>1</v>
      </c>
      <c r="N23" s="57">
        <f>G37*G38</f>
        <v>1</v>
      </c>
      <c r="O23" s="84"/>
    </row>
    <row r="24" spans="2:15" ht="14.25" x14ac:dyDescent="0.2">
      <c r="B24" s="83"/>
      <c r="C24" s="33"/>
      <c r="G24" s="23"/>
      <c r="I24" s="67" t="str">
        <f>INDEX( Language!A19:G19,Language!$H$1)</f>
        <v>Kontrolle max. Länge</v>
      </c>
      <c r="J24" s="68"/>
      <c r="K24" s="69"/>
      <c r="L24" s="49" t="str">
        <f>IF(E38&gt;'ventiduct-parameter'!J13,"error","ok")</f>
        <v>ok</v>
      </c>
      <c r="M24" s="49" t="str">
        <f>IF(F38&gt;'ventiduct-parameter'!K13,"error","ok")</f>
        <v>ok</v>
      </c>
      <c r="N24" s="87" t="str">
        <f>IF(G38&gt;'ventiduct-parameter'!L13,"error","ok")</f>
        <v>ok</v>
      </c>
      <c r="O24" s="84"/>
    </row>
    <row r="25" spans="2:15" ht="23.25" x14ac:dyDescent="0.35">
      <c r="B25" s="83"/>
      <c r="C25" s="34"/>
      <c r="E25" s="38" t="s">
        <v>213</v>
      </c>
      <c r="F25" s="38" t="s">
        <v>214</v>
      </c>
      <c r="G25" s="39" t="s">
        <v>215</v>
      </c>
      <c r="I25" s="67" t="str">
        <f>INDEX(Language!A28:G28,Language!$H$1)</f>
        <v>Abstand Boden / UK Rohr</v>
      </c>
      <c r="J25" s="68"/>
      <c r="K25" s="69" t="s">
        <v>31</v>
      </c>
      <c r="L25" s="58">
        <f>$D$20-'Beregning ex1-3'!D3/1000</f>
        <v>2.5499999999999998</v>
      </c>
      <c r="M25" s="58">
        <f>$D$20-'Beregning ex1-3'!E3/1000</f>
        <v>2.5999999999999996</v>
      </c>
      <c r="N25" s="59">
        <f>$D$20-'Beregning ex1-3'!F3/1000</f>
        <v>2.5499999999999998</v>
      </c>
      <c r="O25" s="84"/>
    </row>
    <row r="26" spans="2:15" ht="25.5" customHeight="1" x14ac:dyDescent="0.2">
      <c r="B26" s="83"/>
      <c r="C26" s="33" t="str">
        <f>INDEX( Language!A9:G9,Language!$H$1)</f>
        <v>Dimension</v>
      </c>
      <c r="E26" s="93"/>
      <c r="F26" s="93"/>
      <c r="G26" s="94"/>
      <c r="I26" s="70" t="str">
        <f>INDEX(Language!A49:G49,Language!$H$1)</f>
        <v>Thermische Parameter</v>
      </c>
      <c r="J26" s="71"/>
      <c r="K26" s="69"/>
      <c r="L26" s="60"/>
      <c r="M26" s="60"/>
      <c r="N26" s="61"/>
      <c r="O26" s="84"/>
    </row>
    <row r="27" spans="2:15" ht="24.75" customHeight="1" thickBot="1" x14ac:dyDescent="0.25">
      <c r="B27" s="83"/>
      <c r="C27" s="33" t="str">
        <f>INDEX( Language!A10:G10,Language!$H$1)</f>
        <v>Düsenmuster</v>
      </c>
      <c r="E27" s="93"/>
      <c r="F27" s="93"/>
      <c r="G27" s="94"/>
      <c r="I27" s="67" t="str">
        <f>INDEX( Language!A50:G50,Language!$H$1)</f>
        <v>Kühlleistung total</v>
      </c>
      <c r="J27" s="68"/>
      <c r="K27" s="69" t="s">
        <v>27</v>
      </c>
      <c r="L27" s="54">
        <f>'Beregning ex1-3'!D2*E35*0.34</f>
        <v>0</v>
      </c>
      <c r="M27" s="54">
        <f>'Beregning ex1-3'!E2*F35*0.34</f>
        <v>0</v>
      </c>
      <c r="N27" s="55">
        <f>'Beregning ex1-3'!F2*G35*0.34</f>
        <v>0</v>
      </c>
      <c r="O27" s="84"/>
    </row>
    <row r="28" spans="2:15" ht="19.5" thickBot="1" x14ac:dyDescent="0.25">
      <c r="B28" s="83"/>
      <c r="C28" s="33"/>
      <c r="E28" s="95" t="str">
        <f>IF('ventiduct-parameter'!J5=6,'ventiduct-parameter'!J8," ")</f>
        <v xml:space="preserve"> </v>
      </c>
      <c r="F28" s="95" t="str">
        <f>IF('ventiduct-parameter'!K5=6,'ventiduct-parameter'!K8," ")</f>
        <v xml:space="preserve"> </v>
      </c>
      <c r="G28" s="95" t="str">
        <f>IF('ventiduct-parameter'!L5=6,'ventiduct-parameter'!L8," ")</f>
        <v xml:space="preserve"> </v>
      </c>
      <c r="I28" s="67" t="s">
        <v>346</v>
      </c>
      <c r="J28" s="68"/>
      <c r="K28" s="69" t="s">
        <v>200</v>
      </c>
      <c r="L28" s="54">
        <f>L27/G16</f>
        <v>0</v>
      </c>
      <c r="M28" s="54">
        <f>M27/G16</f>
        <v>0</v>
      </c>
      <c r="N28" s="55">
        <f>N27/G16</f>
        <v>0</v>
      </c>
      <c r="O28" s="84"/>
    </row>
    <row r="29" spans="2:15" ht="14.25" x14ac:dyDescent="0.2">
      <c r="B29" s="83"/>
      <c r="C29" s="33"/>
      <c r="E29" s="93"/>
      <c r="F29" s="93"/>
      <c r="G29" s="94"/>
      <c r="I29" s="67"/>
      <c r="J29" s="68"/>
      <c r="K29" s="69"/>
      <c r="L29" s="60"/>
      <c r="M29" s="60"/>
      <c r="N29" s="61"/>
      <c r="O29" s="84"/>
    </row>
    <row r="30" spans="2:15" ht="14.25" x14ac:dyDescent="0.2">
      <c r="B30" s="83"/>
      <c r="C30" s="33"/>
      <c r="E30" s="93"/>
      <c r="F30" s="93"/>
      <c r="G30" s="94"/>
      <c r="I30" s="67" t="str">
        <f>INDEX( Language!A52:G52,Language!$H$1)</f>
        <v>Luftwechsel</v>
      </c>
      <c r="J30" s="68"/>
      <c r="K30" s="69" t="s">
        <v>33</v>
      </c>
      <c r="L30" s="56">
        <f>'Beregning ex1-3'!D2/$G$17</f>
        <v>7.407407407407407E-2</v>
      </c>
      <c r="M30" s="56">
        <f>'Beregning ex1-3'!E2/$G$17</f>
        <v>7.407407407407407E-2</v>
      </c>
      <c r="N30" s="57">
        <f>'Beregning ex1-3'!F2/$G$17</f>
        <v>7.407407407407407E-2</v>
      </c>
      <c r="O30" s="84"/>
    </row>
    <row r="31" spans="2:15" ht="18.75" x14ac:dyDescent="0.2">
      <c r="B31" s="83"/>
      <c r="C31" s="33" t="str">
        <f>INDEX( Language!A12:G12,Language!$H$1)</f>
        <v>Luftrichtung</v>
      </c>
      <c r="E31" s="93"/>
      <c r="F31" s="93"/>
      <c r="G31" s="94"/>
      <c r="I31" s="67" t="s">
        <v>347</v>
      </c>
      <c r="J31" s="68"/>
      <c r="K31" s="69" t="str">
        <f>INDEX('ventiduct-parameter'!C28:C29,'ventiduct-parameter'!$A$26)</f>
        <v>m3/(hm2)</v>
      </c>
      <c r="L31" s="54">
        <f>'Beregning ex1-3'!D2/L16</f>
        <v>50</v>
      </c>
      <c r="M31" s="54">
        <f>'Beregning ex1-3'!E2/M16</f>
        <v>50</v>
      </c>
      <c r="N31" s="55">
        <f>'Beregning ex1-3'!F2/N16</f>
        <v>50</v>
      </c>
      <c r="O31" s="84"/>
    </row>
    <row r="32" spans="2:15" ht="14.25" x14ac:dyDescent="0.2">
      <c r="B32" s="83"/>
      <c r="C32" s="33"/>
      <c r="G32" s="23"/>
      <c r="I32" s="67" t="str">
        <f>INDEX( Language!A54:G54,Language!$H$1)</f>
        <v>Volumenstrom pr. Länge</v>
      </c>
      <c r="J32" s="68"/>
      <c r="K32" s="69" t="s">
        <v>1</v>
      </c>
      <c r="L32" s="54">
        <f>L27/L23</f>
        <v>0</v>
      </c>
      <c r="M32" s="54">
        <f>M27/M23</f>
        <v>0</v>
      </c>
      <c r="N32" s="55">
        <f>N27/N23</f>
        <v>0</v>
      </c>
      <c r="O32" s="84"/>
    </row>
    <row r="33" spans="2:15" ht="19.5" thickBot="1" x14ac:dyDescent="0.25">
      <c r="B33" s="83"/>
      <c r="C33" s="33"/>
      <c r="G33" s="23"/>
      <c r="I33" s="67" t="s">
        <v>348</v>
      </c>
      <c r="J33" s="68"/>
      <c r="K33" s="69" t="s">
        <v>200</v>
      </c>
      <c r="L33" s="54">
        <f>L27/L16</f>
        <v>0</v>
      </c>
      <c r="M33" s="54">
        <f>M27/M16</f>
        <v>0</v>
      </c>
      <c r="N33" s="55">
        <f>N27/N16</f>
        <v>0</v>
      </c>
      <c r="O33" s="84"/>
    </row>
    <row r="34" spans="2:15" ht="15.75" thickBot="1" x14ac:dyDescent="0.25">
      <c r="B34" s="83"/>
      <c r="C34" s="33" t="str">
        <f>INDEX( Language!A15:G15,Language!$H$1)</f>
        <v>Volumenstrom total</v>
      </c>
      <c r="D34" t="str">
        <f>INDEX('ventiduct-parameter'!A28:A29,'ventiduct-parameter'!A26)</f>
        <v>m3/h</v>
      </c>
      <c r="E34" s="96">
        <v>50</v>
      </c>
      <c r="F34" s="96">
        <v>50</v>
      </c>
      <c r="G34" s="96">
        <v>50</v>
      </c>
      <c r="I34" s="70" t="str">
        <f>INDEX(Language!A56:G56,Language!$H$1)</f>
        <v>Akustik</v>
      </c>
      <c r="J34" s="68"/>
      <c r="K34" s="69"/>
      <c r="L34" s="60"/>
      <c r="M34" s="60"/>
      <c r="N34" s="61"/>
      <c r="O34" s="84"/>
    </row>
    <row r="35" spans="2:15" ht="15" thickBot="1" x14ac:dyDescent="0.25">
      <c r="B35" s="83"/>
      <c r="C35" s="33" t="str">
        <f>INDEX( Language!A16:G16,Language!$H$1)</f>
        <v xml:space="preserve">Untertemperatur </v>
      </c>
      <c r="D35" t="s">
        <v>24</v>
      </c>
      <c r="E35" s="96">
        <v>0</v>
      </c>
      <c r="F35" s="96">
        <v>0</v>
      </c>
      <c r="G35" s="96">
        <v>0</v>
      </c>
      <c r="I35" s="67" t="str">
        <f>INDEX( Language!A57:G57,Language!$H$1)</f>
        <v>Volumenstrom pro Rohr</v>
      </c>
      <c r="J35" s="68"/>
      <c r="K35" s="69" t="str">
        <f>INDEX('ventiduct-parameter'!A28:A29,'ventiduct-parameter'!A26)</f>
        <v>m3/h</v>
      </c>
      <c r="L35" s="54">
        <f>E34/E37</f>
        <v>50</v>
      </c>
      <c r="M35" s="54">
        <f>F34/F37</f>
        <v>50</v>
      </c>
      <c r="N35" s="55">
        <f>G34/G37</f>
        <v>50</v>
      </c>
      <c r="O35" s="84"/>
    </row>
    <row r="36" spans="2:15" ht="15" thickBot="1" x14ac:dyDescent="0.25">
      <c r="B36" s="83"/>
      <c r="C36" s="33"/>
      <c r="E36" s="30"/>
      <c r="F36" s="30"/>
      <c r="G36" s="35"/>
      <c r="I36" s="67" t="str">
        <f>INDEX( Language!A58:G58,Language!$H$1)</f>
        <v>Max. Kanalgeschwindigkeit</v>
      </c>
      <c r="J36" s="68"/>
      <c r="K36" s="69" t="s">
        <v>87</v>
      </c>
      <c r="L36" s="56">
        <f>'Beregning ex1-3'!K16</f>
        <v>0.28294212105225836</v>
      </c>
      <c r="M36" s="56">
        <f>'Beregning ex1-3'!L16</f>
        <v>0.44209706414415367</v>
      </c>
      <c r="N36" s="57">
        <f>'Beregning ex1-3'!M16</f>
        <v>0.28294212105225836</v>
      </c>
      <c r="O36" s="84"/>
    </row>
    <row r="37" spans="2:15" ht="15" thickBot="1" x14ac:dyDescent="0.25">
      <c r="B37" s="83"/>
      <c r="C37" s="33" t="str">
        <f>INDEX( Language!A17:G17,Language!$H$1)</f>
        <v>Anzahl Ventiduct</v>
      </c>
      <c r="D37" t="str">
        <f>INDEX(Language!A39:G39,Language!$H$1)</f>
        <v>stk.</v>
      </c>
      <c r="E37" s="96">
        <v>1</v>
      </c>
      <c r="F37" s="96">
        <v>1</v>
      </c>
      <c r="G37" s="96">
        <v>1</v>
      </c>
      <c r="I37" s="67" t="str">
        <f>INDEX( Language!A59:G59,Language!$H$1)</f>
        <v>Düsen</v>
      </c>
      <c r="J37" s="69"/>
      <c r="K37" s="69" t="s">
        <v>90</v>
      </c>
      <c r="L37" s="54">
        <f>'Beregning ex1-3'!K18</f>
        <v>15.547361289803888</v>
      </c>
      <c r="M37" s="54">
        <f>'Beregning ex1-3'!L18</f>
        <v>-3.0275571318852315</v>
      </c>
      <c r="N37" s="55">
        <f>'Beregning ex1-3'!M18</f>
        <v>-32.034604530706844</v>
      </c>
      <c r="O37" s="84"/>
    </row>
    <row r="38" spans="2:15" ht="15" thickBot="1" x14ac:dyDescent="0.25">
      <c r="B38" s="83"/>
      <c r="C38" s="33" t="str">
        <f>INDEX( Language!A18:G18,Language!$H$1)</f>
        <v>Länge pr. Ventiduct</v>
      </c>
      <c r="D38" t="s">
        <v>31</v>
      </c>
      <c r="E38" s="96">
        <v>1</v>
      </c>
      <c r="F38" s="96">
        <v>1</v>
      </c>
      <c r="G38" s="96">
        <v>1</v>
      </c>
      <c r="I38" s="67" t="str">
        <f>INDEX( Language!A60:G60,Language!$H$1)</f>
        <v>Kanal</v>
      </c>
      <c r="J38" s="69"/>
      <c r="K38" s="69" t="s">
        <v>90</v>
      </c>
      <c r="L38" s="54">
        <f>'Beregning ex1-3'!K19</f>
        <v>-30.898143708490906</v>
      </c>
      <c r="M38" s="54">
        <f>'Beregning ex1-3'!L19</f>
        <v>-19.268942147524143</v>
      </c>
      <c r="N38" s="55">
        <f>'Beregning ex1-3'!M19</f>
        <v>-30.898143708490906</v>
      </c>
      <c r="O38" s="84"/>
    </row>
    <row r="39" spans="2:15" ht="15" thickBot="1" x14ac:dyDescent="0.25">
      <c r="B39" s="83"/>
      <c r="C39" s="36" t="str">
        <f>INDEX( Language!A23:G23,Language!$H$1)</f>
        <v>Abstand zwischen den Rohren</v>
      </c>
      <c r="D39" s="24" t="s">
        <v>31</v>
      </c>
      <c r="E39" s="96">
        <v>1</v>
      </c>
      <c r="F39" s="96">
        <v>1</v>
      </c>
      <c r="G39" s="96">
        <v>1</v>
      </c>
      <c r="I39" s="72" t="str">
        <f>INDEX( Language!A61:G61,Language!$H$1)</f>
        <v>Gesamter Schalleistungspegel pr. Rohr</v>
      </c>
      <c r="J39" s="73"/>
      <c r="K39" s="74" t="s">
        <v>90</v>
      </c>
      <c r="L39" s="62">
        <f>'Beregning ex1-3'!K20</f>
        <v>15.547459742789055</v>
      </c>
      <c r="M39" s="62">
        <f>'Beregning ex1-3'!L20</f>
        <v>-2.9255720667175926</v>
      </c>
      <c r="N39" s="63">
        <f>'Beregning ex1-3'!M20</f>
        <v>-28.419006142723823</v>
      </c>
      <c r="O39" s="84"/>
    </row>
    <row r="40" spans="2:15" x14ac:dyDescent="0.2">
      <c r="B40" s="83"/>
      <c r="E40" s="6"/>
      <c r="F40" s="6"/>
      <c r="G40" s="6"/>
      <c r="O40" s="84"/>
    </row>
    <row r="41" spans="2:15" ht="18.75" thickBot="1" x14ac:dyDescent="0.3">
      <c r="B41" s="83"/>
      <c r="C41" s="41" t="str">
        <f>INDEX( Language!A32:G32,Language!$H$1)</f>
        <v>Ergebnis</v>
      </c>
      <c r="E41" s="6"/>
      <c r="F41" s="6"/>
      <c r="G41" s="6"/>
      <c r="L41" s="6"/>
      <c r="M41" s="6"/>
      <c r="N41" s="6"/>
      <c r="O41" s="84"/>
    </row>
    <row r="42" spans="2:15" ht="18.75" customHeight="1" thickBot="1" x14ac:dyDescent="0.3">
      <c r="B42" s="83"/>
      <c r="C42" s="16" t="str">
        <f>INDEX( Language!A33:G33,Language!$H$1)</f>
        <v>Max. Raumluftgeschw.</v>
      </c>
      <c r="D42" s="28" t="s">
        <v>87</v>
      </c>
      <c r="E42" s="75">
        <f>INDEX('Beregning ex1-3'!D39:D41,'ventiduct-parameter'!J6)</f>
        <v>0.67358920121985355</v>
      </c>
      <c r="F42" s="75">
        <f>INDEX('Beregning ex1-3'!E39:E41,'ventiduct-parameter'!K6)</f>
        <v>0.37785000000000002</v>
      </c>
      <c r="G42" s="76">
        <f>INDEX('Beregning ex1-3'!F39:F41,'ventiduct-parameter'!L6)</f>
        <v>8.8430399999999992E-2</v>
      </c>
      <c r="O42" s="84"/>
    </row>
    <row r="43" spans="2:15" ht="16.5" thickBot="1" x14ac:dyDescent="0.3">
      <c r="B43" s="83"/>
      <c r="C43" s="16" t="str">
        <f>INDEX( Language!A34:G34,Language!$H$1)</f>
        <v xml:space="preserve">Result. Schalldruckpegel </v>
      </c>
      <c r="D43" s="28" t="s">
        <v>90</v>
      </c>
      <c r="E43" s="77">
        <f>Lydberegning!D13</f>
        <v>10.794190018443132</v>
      </c>
      <c r="F43" s="77">
        <f>Lydberegning!E13</f>
        <v>-7.6788417910635172</v>
      </c>
      <c r="G43" s="78">
        <f>Lydberegning!F13</f>
        <v>-33.17227586706975</v>
      </c>
      <c r="I43" s="16" t="str">
        <f>INDEX(Language!A62:G62,Language!$H$1)</f>
        <v>Gesamtdruckverlust</v>
      </c>
      <c r="J43" s="29"/>
      <c r="K43" s="28" t="s">
        <v>326</v>
      </c>
      <c r="L43" s="77">
        <f>'Beregning ex1-3'!K24</f>
        <v>35.677320968019572</v>
      </c>
      <c r="M43" s="77">
        <f>'Beregning ex1-3'!L24</f>
        <v>14.034960209451581</v>
      </c>
      <c r="N43" s="78">
        <f>'Beregning ex1-3'!M24</f>
        <v>3.2546695962723513</v>
      </c>
      <c r="O43" s="84"/>
    </row>
    <row r="44" spans="2:15" ht="13.5" thickBot="1" x14ac:dyDescent="0.25">
      <c r="B44" s="83"/>
      <c r="L44" s="4"/>
      <c r="O44" s="84"/>
    </row>
    <row r="45" spans="2:15" ht="28.35" customHeight="1" x14ac:dyDescent="0.2">
      <c r="B45" s="83"/>
      <c r="C45" s="103" t="s">
        <v>534</v>
      </c>
      <c r="D45" s="104"/>
      <c r="E45" s="101"/>
      <c r="L45" s="4"/>
      <c r="O45" s="84"/>
    </row>
    <row r="46" spans="2:15" ht="28.35" customHeight="1" thickBot="1" x14ac:dyDescent="0.25">
      <c r="B46" s="83"/>
      <c r="C46" s="122" t="s">
        <v>535</v>
      </c>
      <c r="D46" s="123"/>
      <c r="E46" s="102"/>
      <c r="L46" s="4"/>
      <c r="O46" s="84"/>
    </row>
    <row r="47" spans="2:15" ht="13.5" thickBot="1" x14ac:dyDescent="0.25">
      <c r="B47" s="83"/>
      <c r="O47" s="84"/>
    </row>
    <row r="48" spans="2:15" ht="23.25" customHeight="1" x14ac:dyDescent="0.25">
      <c r="B48" s="83"/>
      <c r="C48" s="97" t="str">
        <f>INDEX( Language!A72:G72,Language!$H$1)</f>
        <v>Bemerkungen: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8"/>
      <c r="O48" s="84"/>
    </row>
    <row r="49" spans="2:15" ht="23.25" customHeight="1" x14ac:dyDescent="0.25">
      <c r="B49" s="83"/>
      <c r="C49" s="98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00"/>
      <c r="O49" s="84"/>
    </row>
    <row r="50" spans="2:15" ht="23.25" customHeight="1" x14ac:dyDescent="0.25">
      <c r="B50" s="8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1"/>
      <c r="O50" s="84"/>
    </row>
    <row r="51" spans="2:15" ht="23.25" customHeight="1" thickBot="1" x14ac:dyDescent="0.3">
      <c r="B51" s="83"/>
      <c r="C51" s="124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6"/>
      <c r="O51" s="84"/>
    </row>
    <row r="52" spans="2:15" x14ac:dyDescent="0.2">
      <c r="B52" s="83"/>
      <c r="O52" s="84"/>
    </row>
    <row r="53" spans="2:15" x14ac:dyDescent="0.2">
      <c r="B53" s="83"/>
      <c r="O53" s="84"/>
    </row>
    <row r="54" spans="2:15" ht="18.75" customHeight="1" x14ac:dyDescent="0.35">
      <c r="B54" s="83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4"/>
    </row>
    <row r="55" spans="2:15" ht="12.75" customHeight="1" x14ac:dyDescent="0.35">
      <c r="B55" s="83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4"/>
    </row>
    <row r="56" spans="2:15" ht="12.75" customHeight="1" x14ac:dyDescent="0.35">
      <c r="B56" s="83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4"/>
    </row>
    <row r="57" spans="2:15" ht="12.75" customHeight="1" x14ac:dyDescent="0.35">
      <c r="B57" s="85"/>
      <c r="C57" s="106" t="s">
        <v>536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6"/>
    </row>
    <row r="58" spans="2:15" ht="12.75" customHeight="1" x14ac:dyDescent="0.35"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2:15" ht="12.75" customHeight="1" x14ac:dyDescent="0.35"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2:15" ht="12.75" customHeight="1" x14ac:dyDescent="0.35"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5" ht="12.75" customHeight="1" x14ac:dyDescent="0.35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2:15" ht="12.75" customHeight="1" x14ac:dyDescent="0.35"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2:15" ht="12.75" customHeight="1" x14ac:dyDescent="0.35"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2:15" ht="12.75" customHeight="1" x14ac:dyDescent="0.35"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3:14" ht="12.75" customHeight="1" x14ac:dyDescent="0.35"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3:14" ht="12.75" customHeight="1" x14ac:dyDescent="0.35"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3:14" ht="12.75" customHeight="1" x14ac:dyDescent="0.35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3:14" ht="12.75" customHeight="1" x14ac:dyDescent="0.35"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3:14" ht="12.75" customHeight="1" x14ac:dyDescent="0.35"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3:14" ht="12.75" customHeight="1" x14ac:dyDescent="0.35"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3:14" ht="12.75" customHeight="1" x14ac:dyDescent="0.35"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3:14" ht="12.75" customHeight="1" x14ac:dyDescent="0.35"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3:14" ht="12.75" customHeight="1" x14ac:dyDescent="0.35"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3:14" ht="12.75" customHeight="1" x14ac:dyDescent="0.35"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3:14" ht="12.75" customHeight="1" x14ac:dyDescent="0.35"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</row>
    <row r="76" spans="3:14" ht="12.75" customHeight="1" x14ac:dyDescent="0.35"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</row>
    <row r="77" spans="3:14" ht="12.75" customHeight="1" x14ac:dyDescent="0.35"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</row>
    <row r="78" spans="3:14" ht="12.75" customHeight="1" x14ac:dyDescent="0.35"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3:14" ht="12.75" customHeight="1" x14ac:dyDescent="0.35"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3:14" ht="12.75" customHeight="1" x14ac:dyDescent="0.35"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3:14" ht="12.75" customHeight="1" x14ac:dyDescent="0.35"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3:14" ht="12.75" customHeight="1" x14ac:dyDescent="0.35"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3:14" ht="12.75" customHeight="1" x14ac:dyDescent="0.35"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</row>
  </sheetData>
  <sheetProtection algorithmName="SHA-512" hashValue="eJCfyjzxbmit0WtEcyn07R46M7MjufmkmJKYVIpt7Gk3RkPJifZXWKFg2ewHA37GI6fSUQuDiMojLUuNHFGJ3Q==" saltValue="KBFA2bniNCbjNjoUZgR9bA==" spinCount="100000" sheet="1" objects="1" scenarios="1"/>
  <mergeCells count="11">
    <mergeCell ref="C51:N51"/>
    <mergeCell ref="C12:N12"/>
    <mergeCell ref="C13:N13"/>
    <mergeCell ref="C14:N14"/>
    <mergeCell ref="F22:G22"/>
    <mergeCell ref="M11:N11"/>
    <mergeCell ref="F18:G18"/>
    <mergeCell ref="F19:G19"/>
    <mergeCell ref="D48:N48"/>
    <mergeCell ref="C50:N50"/>
    <mergeCell ref="C46:D46"/>
  </mergeCells>
  <phoneticPr fontId="0" type="noConversion"/>
  <conditionalFormatting sqref="F20">
    <cfRule type="cellIs" dxfId="3" priority="4" operator="equal">
      <formula>"error"</formula>
    </cfRule>
  </conditionalFormatting>
  <conditionalFormatting sqref="L17:N19">
    <cfRule type="cellIs" dxfId="2" priority="3" operator="equal">
      <formula>"error"</formula>
    </cfRule>
  </conditionalFormatting>
  <conditionalFormatting sqref="L22:N22">
    <cfRule type="cellIs" dxfId="1" priority="2" operator="equal">
      <formula>"error"</formula>
    </cfRule>
  </conditionalFormatting>
  <conditionalFormatting sqref="L24:N24">
    <cfRule type="cellIs" dxfId="0" priority="1" operator="equal">
      <formula>"error"</formula>
    </cfRule>
  </conditionalFormatting>
  <hyperlinks>
    <hyperlink ref="C45:D45" r:id="rId1" display="Online-Produktinformation VSR-Düsenrohr" xr:uid="{884D9647-5BD8-4CA5-B111-1CC7144ECC00}"/>
    <hyperlink ref="C46:D46" r:id="rId2" display="Ausschreibungstext" xr:uid="{7C5F61EA-CC0D-49AA-9A5E-05B22EB91ED3}"/>
  </hyperlinks>
  <printOptions horizontalCentered="1"/>
  <pageMargins left="0.25" right="0.25" top="0.75" bottom="0.75" header="0.3" footer="0.3"/>
  <pageSetup paperSize="9" scale="72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Drop Down 1">
              <controlPr defaultSize="0" autoLine="0" autoPict="0">
                <anchor moveWithCells="1">
                  <from>
                    <xdr:col>4</xdr:col>
                    <xdr:colOff>28575</xdr:colOff>
                    <xdr:row>25</xdr:row>
                    <xdr:rowOff>66675</xdr:rowOff>
                  </from>
                  <to>
                    <xdr:col>4</xdr:col>
                    <xdr:colOff>676275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4</xdr:col>
                    <xdr:colOff>38100</xdr:colOff>
                    <xdr:row>26</xdr:row>
                    <xdr:rowOff>38100</xdr:rowOff>
                  </from>
                  <to>
                    <xdr:col>4</xdr:col>
                    <xdr:colOff>685800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Spinner 8">
              <controlPr defaultSize="0" autoPict="0">
                <anchor moveWithCells="1" sizeWithCells="1">
                  <from>
                    <xdr:col>4</xdr:col>
                    <xdr:colOff>95250</xdr:colOff>
                    <xdr:row>28</xdr:row>
                    <xdr:rowOff>38100</xdr:rowOff>
                  </from>
                  <to>
                    <xdr:col>4</xdr:col>
                    <xdr:colOff>619125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Drop Down 9">
              <controlPr defaultSize="0" autoLine="0" autoPict="0">
                <anchor moveWithCells="1">
                  <from>
                    <xdr:col>4</xdr:col>
                    <xdr:colOff>19050</xdr:colOff>
                    <xdr:row>30</xdr:row>
                    <xdr:rowOff>19050</xdr:rowOff>
                  </from>
                  <to>
                    <xdr:col>4</xdr:col>
                    <xdr:colOff>704850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Drop Down 10">
              <controlPr defaultSize="0" autoLine="0" autoPict="0">
                <anchor moveWithCells="1">
                  <from>
                    <xdr:col>5</xdr:col>
                    <xdr:colOff>47625</xdr:colOff>
                    <xdr:row>25</xdr:row>
                    <xdr:rowOff>85725</xdr:rowOff>
                  </from>
                  <to>
                    <xdr:col>5</xdr:col>
                    <xdr:colOff>666750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Drop Down 11">
              <controlPr defaultSize="0" autoLine="0" autoPict="0">
                <anchor moveWithCells="1">
                  <from>
                    <xdr:col>6</xdr:col>
                    <xdr:colOff>57150</xdr:colOff>
                    <xdr:row>25</xdr:row>
                    <xdr:rowOff>76200</xdr:rowOff>
                  </from>
                  <to>
                    <xdr:col>6</xdr:col>
                    <xdr:colOff>676275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Drop Down 12">
              <controlPr defaultSize="0" autoLine="0" autoPict="0">
                <anchor moveWithCells="1">
                  <from>
                    <xdr:col>5</xdr:col>
                    <xdr:colOff>28575</xdr:colOff>
                    <xdr:row>26</xdr:row>
                    <xdr:rowOff>47625</xdr:rowOff>
                  </from>
                  <to>
                    <xdr:col>5</xdr:col>
                    <xdr:colOff>647700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Drop Down 13">
              <controlPr defaultSize="0" autoLine="0" autoPict="0">
                <anchor moveWithCells="1">
                  <from>
                    <xdr:col>6</xdr:col>
                    <xdr:colOff>57150</xdr:colOff>
                    <xdr:row>26</xdr:row>
                    <xdr:rowOff>38100</xdr:rowOff>
                  </from>
                  <to>
                    <xdr:col>6</xdr:col>
                    <xdr:colOff>666750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Spinner 14">
              <controlPr defaultSize="0" autoPict="0">
                <anchor moveWithCells="1" sizeWithCells="1">
                  <from>
                    <xdr:col>5</xdr:col>
                    <xdr:colOff>85725</xdr:colOff>
                    <xdr:row>28</xdr:row>
                    <xdr:rowOff>38100</xdr:rowOff>
                  </from>
                  <to>
                    <xdr:col>5</xdr:col>
                    <xdr:colOff>609600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Spinner 15">
              <controlPr defaultSize="0" autoPict="0">
                <anchor moveWithCells="1" sizeWithCells="1">
                  <from>
                    <xdr:col>6</xdr:col>
                    <xdr:colOff>95250</xdr:colOff>
                    <xdr:row>28</xdr:row>
                    <xdr:rowOff>47625</xdr:rowOff>
                  </from>
                  <to>
                    <xdr:col>6</xdr:col>
                    <xdr:colOff>619125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Drop Down 16">
              <controlPr defaultSize="0" autoLine="0" autoPict="0">
                <anchor moveWithCells="1">
                  <from>
                    <xdr:col>6</xdr:col>
                    <xdr:colOff>28575</xdr:colOff>
                    <xdr:row>30</xdr:row>
                    <xdr:rowOff>19050</xdr:rowOff>
                  </from>
                  <to>
                    <xdr:col>6</xdr:col>
                    <xdr:colOff>685800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Drop Down 17">
              <controlPr defaultSize="0" autoLine="0" autoPict="0">
                <anchor moveWithCells="1">
                  <from>
                    <xdr:col>5</xdr:col>
                    <xdr:colOff>28575</xdr:colOff>
                    <xdr:row>30</xdr:row>
                    <xdr:rowOff>28575</xdr:rowOff>
                  </from>
                  <to>
                    <xdr:col>5</xdr:col>
                    <xdr:colOff>685800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Spinner 23">
              <controlPr defaultSize="0" autoPict="0">
                <anchor moveWithCells="1">
                  <from>
                    <xdr:col>6</xdr:col>
                    <xdr:colOff>342900</xdr:colOff>
                    <xdr:row>22</xdr:row>
                    <xdr:rowOff>28575</xdr:rowOff>
                  </from>
                  <to>
                    <xdr:col>6</xdr:col>
                    <xdr:colOff>638175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Drop Down 24">
              <controlPr defaultSize="0" autoLine="0" autoPict="0">
                <anchor moveWithCells="1">
                  <from>
                    <xdr:col>5</xdr:col>
                    <xdr:colOff>28575</xdr:colOff>
                    <xdr:row>22</xdr:row>
                    <xdr:rowOff>28575</xdr:rowOff>
                  </from>
                  <to>
                    <xdr:col>6</xdr:col>
                    <xdr:colOff>276225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Drop Down 26">
              <controlPr defaultSize="0" autoLine="0" autoPict="0">
                <anchor moveWithCells="1">
                  <from>
                    <xdr:col>4</xdr:col>
                    <xdr:colOff>200025</xdr:colOff>
                    <xdr:row>9</xdr:row>
                    <xdr:rowOff>0</xdr:rowOff>
                  </from>
                  <to>
                    <xdr:col>5</xdr:col>
                    <xdr:colOff>333375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Drop Down 38">
              <controlPr defaultSize="0" autoLine="0" autoPict="0">
                <anchor moveWithCells="1">
                  <from>
                    <xdr:col>2</xdr:col>
                    <xdr:colOff>552450</xdr:colOff>
                    <xdr:row>9</xdr:row>
                    <xdr:rowOff>0</xdr:rowOff>
                  </from>
                  <to>
                    <xdr:col>2</xdr:col>
                    <xdr:colOff>1400175</xdr:colOff>
                    <xdr:row>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3">
    <pageSetUpPr fitToPage="1"/>
  </sheetPr>
  <dimension ref="A1:M68"/>
  <sheetViews>
    <sheetView workbookViewId="0">
      <selection activeCell="L29" sqref="L29"/>
    </sheetView>
  </sheetViews>
  <sheetFormatPr baseColWidth="10" defaultColWidth="9.140625" defaultRowHeight="12.75" x14ac:dyDescent="0.2"/>
  <sheetData>
    <row r="1" spans="1:9" x14ac:dyDescent="0.2">
      <c r="A1" s="5"/>
      <c r="B1" s="5"/>
      <c r="C1" t="s">
        <v>120</v>
      </c>
      <c r="F1" s="5"/>
      <c r="G1" t="s">
        <v>101</v>
      </c>
      <c r="H1" t="s">
        <v>20</v>
      </c>
    </row>
    <row r="2" spans="1:9" x14ac:dyDescent="0.2">
      <c r="A2" s="5"/>
      <c r="B2" s="5"/>
      <c r="C2" t="s">
        <v>121</v>
      </c>
      <c r="F2" s="5"/>
      <c r="G2" t="s">
        <v>102</v>
      </c>
      <c r="H2" t="s">
        <v>31</v>
      </c>
      <c r="I2" t="s">
        <v>103</v>
      </c>
    </row>
    <row r="3" spans="1:9" x14ac:dyDescent="0.2">
      <c r="A3" s="5"/>
      <c r="B3" s="5"/>
      <c r="F3" s="5"/>
      <c r="G3" t="s">
        <v>2</v>
      </c>
      <c r="H3" t="s">
        <v>104</v>
      </c>
    </row>
    <row r="4" spans="1:9" x14ac:dyDescent="0.2">
      <c r="A4" s="5"/>
      <c r="B4" s="5"/>
      <c r="C4" t="s">
        <v>122</v>
      </c>
      <c r="F4" s="5"/>
      <c r="G4" t="s">
        <v>105</v>
      </c>
      <c r="H4" t="s">
        <v>31</v>
      </c>
      <c r="I4" t="s">
        <v>106</v>
      </c>
    </row>
    <row r="5" spans="1:9" x14ac:dyDescent="0.2">
      <c r="A5" s="5"/>
      <c r="B5" s="5"/>
      <c r="C5" t="s">
        <v>123</v>
      </c>
      <c r="F5" s="5"/>
    </row>
    <row r="6" spans="1:9" x14ac:dyDescent="0.2">
      <c r="B6" s="5"/>
      <c r="F6" s="5"/>
    </row>
    <row r="7" spans="1:9" x14ac:dyDescent="0.2">
      <c r="A7" s="5" t="s">
        <v>126</v>
      </c>
    </row>
    <row r="9" spans="1:9" x14ac:dyDescent="0.2">
      <c r="C9" t="s">
        <v>130</v>
      </c>
    </row>
    <row r="11" spans="1:9" x14ac:dyDescent="0.2">
      <c r="C11" t="s">
        <v>129</v>
      </c>
      <c r="G11" t="s">
        <v>214</v>
      </c>
      <c r="H11" t="s">
        <v>31</v>
      </c>
      <c r="I11" t="s">
        <v>487</v>
      </c>
    </row>
    <row r="12" spans="1:9" x14ac:dyDescent="0.2">
      <c r="B12" s="5"/>
      <c r="C12" t="s">
        <v>491</v>
      </c>
      <c r="F12" s="5"/>
    </row>
    <row r="14" spans="1:9" x14ac:dyDescent="0.2">
      <c r="A14" s="5" t="s">
        <v>98</v>
      </c>
    </row>
    <row r="15" spans="1:9" x14ac:dyDescent="0.2">
      <c r="B15" s="5"/>
    </row>
    <row r="16" spans="1:9" x14ac:dyDescent="0.2">
      <c r="B16" s="5" t="s">
        <v>99</v>
      </c>
    </row>
    <row r="17" spans="3:13" x14ac:dyDescent="0.2">
      <c r="C17" t="s">
        <v>488</v>
      </c>
      <c r="J17" t="s">
        <v>127</v>
      </c>
    </row>
    <row r="18" spans="3:13" x14ac:dyDescent="0.2">
      <c r="C18" t="s">
        <v>489</v>
      </c>
      <c r="J18" t="s">
        <v>128</v>
      </c>
    </row>
    <row r="20" spans="3:13" x14ac:dyDescent="0.2">
      <c r="C20" t="s">
        <v>100</v>
      </c>
    </row>
    <row r="22" spans="3:13" x14ac:dyDescent="0.2">
      <c r="C22" t="s">
        <v>39</v>
      </c>
      <c r="D22" t="s">
        <v>107</v>
      </c>
      <c r="E22" t="s">
        <v>108</v>
      </c>
    </row>
    <row r="23" spans="3:13" x14ac:dyDescent="0.2">
      <c r="C23" t="s">
        <v>109</v>
      </c>
      <c r="D23" t="s">
        <v>107</v>
      </c>
      <c r="E23" t="s">
        <v>110</v>
      </c>
      <c r="M23" t="s">
        <v>46</v>
      </c>
    </row>
    <row r="25" spans="3:13" x14ac:dyDescent="0.2">
      <c r="C25" t="s">
        <v>111</v>
      </c>
    </row>
    <row r="27" spans="3:13" x14ac:dyDescent="0.2">
      <c r="C27" t="s">
        <v>112</v>
      </c>
      <c r="F27" t="s">
        <v>113</v>
      </c>
      <c r="H27" t="s">
        <v>114</v>
      </c>
    </row>
    <row r="28" spans="3:13" x14ac:dyDescent="0.2">
      <c r="C28" t="s">
        <v>115</v>
      </c>
      <c r="F28" t="s">
        <v>116</v>
      </c>
      <c r="H28" t="s">
        <v>117</v>
      </c>
    </row>
    <row r="29" spans="3:13" x14ac:dyDescent="0.2">
      <c r="G29" t="s">
        <v>492</v>
      </c>
    </row>
    <row r="31" spans="3:13" x14ac:dyDescent="0.2">
      <c r="C31" t="s">
        <v>118</v>
      </c>
      <c r="F31" t="s">
        <v>119</v>
      </c>
    </row>
    <row r="34" spans="2:10" x14ac:dyDescent="0.2">
      <c r="B34" t="s">
        <v>133</v>
      </c>
    </row>
    <row r="36" spans="2:10" x14ac:dyDescent="0.2">
      <c r="B36" s="5" t="s">
        <v>124</v>
      </c>
    </row>
    <row r="38" spans="2:10" x14ac:dyDescent="0.2">
      <c r="C38" t="s">
        <v>131</v>
      </c>
      <c r="G38" t="s">
        <v>134</v>
      </c>
    </row>
    <row r="40" spans="2:10" x14ac:dyDescent="0.2">
      <c r="C40" t="s">
        <v>495</v>
      </c>
      <c r="J40" t="s">
        <v>127</v>
      </c>
    </row>
    <row r="41" spans="2:10" x14ac:dyDescent="0.2">
      <c r="C41" t="s">
        <v>496</v>
      </c>
      <c r="J41" t="s">
        <v>128</v>
      </c>
    </row>
    <row r="43" spans="2:10" x14ac:dyDescent="0.2">
      <c r="C43" t="s">
        <v>494</v>
      </c>
    </row>
    <row r="44" spans="2:10" x14ac:dyDescent="0.2">
      <c r="B44" t="s">
        <v>490</v>
      </c>
    </row>
    <row r="46" spans="2:10" x14ac:dyDescent="0.2">
      <c r="B46" s="5" t="s">
        <v>125</v>
      </c>
    </row>
    <row r="48" spans="2:10" x14ac:dyDescent="0.2">
      <c r="C48" t="s">
        <v>132</v>
      </c>
    </row>
    <row r="50" spans="1:3" x14ac:dyDescent="0.2">
      <c r="C50" t="s">
        <v>493</v>
      </c>
    </row>
    <row r="52" spans="1:3" x14ac:dyDescent="0.2">
      <c r="B52" t="s">
        <v>135</v>
      </c>
    </row>
    <row r="55" spans="1:3" x14ac:dyDescent="0.2">
      <c r="A55" s="5" t="s">
        <v>477</v>
      </c>
    </row>
    <row r="56" spans="1:3" x14ac:dyDescent="0.2">
      <c r="B56" t="s">
        <v>478</v>
      </c>
    </row>
    <row r="58" spans="1:3" x14ac:dyDescent="0.2">
      <c r="B58" t="s">
        <v>479</v>
      </c>
    </row>
    <row r="60" spans="1:3" x14ac:dyDescent="0.2">
      <c r="B60" t="s">
        <v>480</v>
      </c>
    </row>
    <row r="62" spans="1:3" x14ac:dyDescent="0.2">
      <c r="A62" s="5" t="s">
        <v>83</v>
      </c>
      <c r="B62" t="s">
        <v>483</v>
      </c>
    </row>
    <row r="63" spans="1:3" x14ac:dyDescent="0.2">
      <c r="B63" t="s">
        <v>481</v>
      </c>
      <c r="C63" t="s">
        <v>482</v>
      </c>
    </row>
    <row r="64" spans="1:3" x14ac:dyDescent="0.2">
      <c r="C64" t="s">
        <v>486</v>
      </c>
    </row>
    <row r="66" spans="2:3" x14ac:dyDescent="0.2">
      <c r="B66" t="s">
        <v>179</v>
      </c>
      <c r="C66" t="s">
        <v>484</v>
      </c>
    </row>
    <row r="68" spans="2:3" x14ac:dyDescent="0.2">
      <c r="B68" t="s">
        <v>485</v>
      </c>
    </row>
  </sheetData>
  <phoneticPr fontId="0" type="noConversion"/>
  <pageMargins left="0.78740157499999996" right="0.78740157499999996" top="0.984251969" bottom="0.984251969" header="0.5" footer="0.5"/>
  <pageSetup paperSize="9" scale="73" orientation="portrait" horizontalDpi="300" verticalDpi="300" r:id="rId1"/>
  <headerFooter alignWithMargins="0">
    <oddHeader>&amp;A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S29"/>
  <sheetViews>
    <sheetView workbookViewId="0">
      <selection activeCell="H20" sqref="H20"/>
    </sheetView>
  </sheetViews>
  <sheetFormatPr baseColWidth="10" defaultColWidth="9.140625" defaultRowHeight="12.75" x14ac:dyDescent="0.2"/>
  <sheetData>
    <row r="1" spans="1:19" x14ac:dyDescent="0.2">
      <c r="A1" t="s">
        <v>92</v>
      </c>
      <c r="J1" t="s">
        <v>91</v>
      </c>
    </row>
    <row r="3" spans="1:19" x14ac:dyDescent="0.2">
      <c r="D3" t="s">
        <v>4</v>
      </c>
      <c r="E3" t="s">
        <v>34</v>
      </c>
      <c r="F3" t="s">
        <v>3</v>
      </c>
      <c r="G3" t="s">
        <v>12</v>
      </c>
      <c r="J3" t="s">
        <v>28</v>
      </c>
      <c r="K3" t="s">
        <v>29</v>
      </c>
      <c r="L3" t="s">
        <v>30</v>
      </c>
    </row>
    <row r="4" spans="1:19" x14ac:dyDescent="0.2">
      <c r="A4" t="s">
        <v>195</v>
      </c>
      <c r="B4">
        <v>200</v>
      </c>
      <c r="D4" t="s">
        <v>5</v>
      </c>
      <c r="E4">
        <v>90</v>
      </c>
      <c r="F4">
        <v>90</v>
      </c>
      <c r="G4" t="str">
        <f>INDEX(Language!A74:G74,Language!$H$1)</f>
        <v>nach oben</v>
      </c>
      <c r="I4" t="s">
        <v>2</v>
      </c>
      <c r="J4" s="40">
        <v>2</v>
      </c>
      <c r="K4" s="40">
        <v>1</v>
      </c>
      <c r="L4" s="40">
        <v>2</v>
      </c>
      <c r="N4">
        <v>90</v>
      </c>
      <c r="O4">
        <v>90</v>
      </c>
      <c r="P4">
        <v>90</v>
      </c>
      <c r="Q4" t="s">
        <v>13</v>
      </c>
      <c r="R4" t="s">
        <v>13</v>
      </c>
      <c r="S4" t="s">
        <v>13</v>
      </c>
    </row>
    <row r="5" spans="1:19" x14ac:dyDescent="0.2">
      <c r="A5" t="s">
        <v>196</v>
      </c>
      <c r="B5">
        <v>250</v>
      </c>
      <c r="D5" t="s">
        <v>6</v>
      </c>
      <c r="E5">
        <v>180</v>
      </c>
      <c r="F5">
        <v>90</v>
      </c>
      <c r="G5" t="str">
        <f>INDEX(Language!A75:G75,Language!$H$1)</f>
        <v xml:space="preserve">nach unten </v>
      </c>
      <c r="I5" t="s">
        <v>34</v>
      </c>
      <c r="J5" s="40">
        <v>1</v>
      </c>
      <c r="K5" s="40">
        <v>3</v>
      </c>
      <c r="L5" s="40">
        <v>5</v>
      </c>
      <c r="M5" s="4"/>
      <c r="N5">
        <v>90</v>
      </c>
      <c r="O5">
        <v>90</v>
      </c>
      <c r="P5">
        <v>90</v>
      </c>
      <c r="Q5" t="s">
        <v>14</v>
      </c>
      <c r="R5" t="s">
        <v>14</v>
      </c>
      <c r="S5" t="s">
        <v>14</v>
      </c>
    </row>
    <row r="6" spans="1:19" x14ac:dyDescent="0.2">
      <c r="A6" t="s">
        <v>197</v>
      </c>
      <c r="B6">
        <v>315</v>
      </c>
      <c r="D6" t="s">
        <v>7</v>
      </c>
      <c r="E6">
        <v>180</v>
      </c>
      <c r="F6">
        <v>180</v>
      </c>
      <c r="G6" t="str">
        <f>INDEX(Language!A76:G76,Language!$H$1)</f>
        <v>seitlich</v>
      </c>
      <c r="I6" t="s">
        <v>12</v>
      </c>
      <c r="J6" s="40">
        <v>2</v>
      </c>
      <c r="K6" s="40">
        <v>2</v>
      </c>
      <c r="L6" s="40">
        <v>3</v>
      </c>
      <c r="N6">
        <v>180</v>
      </c>
      <c r="O6">
        <v>180</v>
      </c>
      <c r="P6">
        <v>180</v>
      </c>
      <c r="Q6" t="s">
        <v>15</v>
      </c>
      <c r="R6" t="s">
        <v>15</v>
      </c>
      <c r="S6" t="s">
        <v>15</v>
      </c>
    </row>
    <row r="7" spans="1:19" x14ac:dyDescent="0.2">
      <c r="A7" t="s">
        <v>198</v>
      </c>
      <c r="B7">
        <v>400</v>
      </c>
      <c r="D7" t="s">
        <v>8</v>
      </c>
      <c r="E7">
        <v>270</v>
      </c>
      <c r="F7">
        <v>270</v>
      </c>
      <c r="I7" t="s">
        <v>2</v>
      </c>
      <c r="J7">
        <f>INDEX(B4:B8,J4)</f>
        <v>250</v>
      </c>
      <c r="K7">
        <f>INDEX(B4:B8,K4)</f>
        <v>200</v>
      </c>
      <c r="L7">
        <f>INDEX(B4:B8,L4)</f>
        <v>250</v>
      </c>
      <c r="N7">
        <v>270</v>
      </c>
      <c r="O7">
        <v>270</v>
      </c>
      <c r="P7">
        <v>270</v>
      </c>
    </row>
    <row r="8" spans="1:19" x14ac:dyDescent="0.2">
      <c r="A8" t="s">
        <v>199</v>
      </c>
      <c r="B8">
        <v>500</v>
      </c>
      <c r="D8" t="s">
        <v>9</v>
      </c>
      <c r="E8">
        <v>300</v>
      </c>
      <c r="F8">
        <v>300</v>
      </c>
      <c r="I8" t="s">
        <v>11</v>
      </c>
      <c r="J8" s="40">
        <v>275</v>
      </c>
      <c r="K8" s="40">
        <v>160</v>
      </c>
      <c r="L8" s="40">
        <v>280</v>
      </c>
      <c r="N8">
        <v>300</v>
      </c>
      <c r="O8">
        <v>300</v>
      </c>
      <c r="P8">
        <v>300</v>
      </c>
    </row>
    <row r="9" spans="1:19" x14ac:dyDescent="0.2">
      <c r="D9" t="s">
        <v>11</v>
      </c>
      <c r="E9">
        <f>J8</f>
        <v>275</v>
      </c>
      <c r="F9">
        <f>J8</f>
        <v>275</v>
      </c>
      <c r="I9" t="s">
        <v>4</v>
      </c>
      <c r="J9" t="str">
        <f>INDEX(D4:D9,J5)</f>
        <v>90°</v>
      </c>
      <c r="K9" t="str">
        <f>INDEX(D4:D9,K5)</f>
        <v>180°</v>
      </c>
      <c r="L9" t="str">
        <f>INDEX(D4:D9,L5)</f>
        <v>300°</v>
      </c>
      <c r="N9" s="6">
        <f>J8</f>
        <v>275</v>
      </c>
      <c r="O9" s="6">
        <f>K8</f>
        <v>160</v>
      </c>
      <c r="P9" s="6">
        <f>L8</f>
        <v>280</v>
      </c>
    </row>
    <row r="10" spans="1:19" x14ac:dyDescent="0.2">
      <c r="A10" t="str">
        <f>INDEX(Language!A63:G63,Language!$H$1)</f>
        <v>sehr gedämpft</v>
      </c>
      <c r="C10">
        <v>0.4</v>
      </c>
      <c r="I10" t="s">
        <v>34</v>
      </c>
      <c r="J10">
        <f>INDEX(E4:E9,J5)</f>
        <v>90</v>
      </c>
      <c r="K10">
        <f>INDEX(E11:E16,K5)</f>
        <v>180</v>
      </c>
      <c r="L10">
        <f>INDEX(E18:E23,L5)</f>
        <v>300</v>
      </c>
    </row>
    <row r="11" spans="1:19" x14ac:dyDescent="0.2">
      <c r="A11" t="str">
        <f>INDEX(Language!A64:G64,Language!$H$1)</f>
        <v>gedämpft</v>
      </c>
      <c r="C11">
        <v>0.25</v>
      </c>
      <c r="E11">
        <v>90</v>
      </c>
      <c r="F11">
        <v>90</v>
      </c>
      <c r="I11" t="s">
        <v>3</v>
      </c>
      <c r="J11">
        <f>INDEX(F4:F9,J5)</f>
        <v>90</v>
      </c>
      <c r="K11">
        <f>INDEX(F11:F16,K5)</f>
        <v>180</v>
      </c>
      <c r="L11">
        <f>INDEX(F18:F23,L5)</f>
        <v>300</v>
      </c>
    </row>
    <row r="12" spans="1:19" x14ac:dyDescent="0.2">
      <c r="A12" t="str">
        <f>INDEX(Language!A65:G65,Language!$H$1)</f>
        <v>normal</v>
      </c>
      <c r="C12">
        <v>0.15</v>
      </c>
      <c r="E12">
        <v>180</v>
      </c>
      <c r="F12">
        <v>90</v>
      </c>
      <c r="I12" t="s">
        <v>35</v>
      </c>
      <c r="J12" s="4">
        <f>ROUND($F$26*0.00261*J7*J10/5,0)*5</f>
        <v>60</v>
      </c>
      <c r="K12" s="4">
        <f>ROUND($F$26*0.00261*K7*K10/5,0)*5</f>
        <v>95</v>
      </c>
      <c r="L12" s="4">
        <f>ROUND($F$26*0.00261*L7*L10/5,0)*5</f>
        <v>195</v>
      </c>
    </row>
    <row r="13" spans="1:19" x14ac:dyDescent="0.2">
      <c r="A13" t="str">
        <f>INDEX(Language!A66:G66,Language!$H$1)</f>
        <v>hart</v>
      </c>
      <c r="C13">
        <v>0.1</v>
      </c>
      <c r="E13">
        <v>180</v>
      </c>
      <c r="F13">
        <v>180</v>
      </c>
      <c r="I13" t="s">
        <v>84</v>
      </c>
      <c r="J13" s="3">
        <f>ROUND(6.1*J7/J10,0)</f>
        <v>17</v>
      </c>
      <c r="K13" s="3">
        <f>ROUND(6.1*K7/K10,0)</f>
        <v>7</v>
      </c>
      <c r="L13" s="3">
        <f>ROUND(6.1*L7/L10,0)</f>
        <v>5</v>
      </c>
    </row>
    <row r="14" spans="1:19" x14ac:dyDescent="0.2">
      <c r="A14" t="str">
        <f>INDEX(Language!A67:G67,Language!$H$1)</f>
        <v>sehr hart</v>
      </c>
      <c r="C14">
        <v>0.05</v>
      </c>
      <c r="E14">
        <v>270</v>
      </c>
      <c r="F14">
        <v>270</v>
      </c>
      <c r="I14" t="s">
        <v>88</v>
      </c>
      <c r="J14" s="9">
        <f>PI()/4*(J7/1000)^2</f>
        <v>4.9087385212340517E-2</v>
      </c>
      <c r="K14" s="9">
        <f>PI()/4*(K7/1000)^2</f>
        <v>3.1415926535897934E-2</v>
      </c>
      <c r="L14" s="9">
        <f>PI()/4*(L7/1000)^2</f>
        <v>4.9087385212340517E-2</v>
      </c>
    </row>
    <row r="15" spans="1:19" x14ac:dyDescent="0.2">
      <c r="A15" t="str">
        <f>INDEX(Language!A68:G68,Language!$H$1)</f>
        <v>variabel</v>
      </c>
      <c r="E15">
        <v>300</v>
      </c>
      <c r="F15">
        <v>300</v>
      </c>
    </row>
    <row r="16" spans="1:19" x14ac:dyDescent="0.2">
      <c r="A16" s="40">
        <v>3</v>
      </c>
      <c r="E16">
        <f>K8</f>
        <v>160</v>
      </c>
      <c r="F16">
        <f>E16</f>
        <v>160</v>
      </c>
      <c r="I16" t="s">
        <v>93</v>
      </c>
      <c r="J16" s="4">
        <f>91*LOG(J7*J10)</f>
        <v>396.04860914813401</v>
      </c>
      <c r="K16" s="4">
        <f>91*LOG(K7*K10)</f>
        <v>414.62352756982312</v>
      </c>
      <c r="L16" s="4">
        <f>91*LOG(L7*L10)</f>
        <v>443.63057496864474</v>
      </c>
    </row>
    <row r="17" spans="1:12" x14ac:dyDescent="0.2">
      <c r="I17" t="s">
        <v>94</v>
      </c>
      <c r="J17" s="4">
        <f>240-J16</f>
        <v>-156.04860914813401</v>
      </c>
      <c r="K17" s="4">
        <f>240-K16</f>
        <v>-174.62352756982312</v>
      </c>
      <c r="L17" s="4">
        <f>240-L16</f>
        <v>-203.63057496864474</v>
      </c>
    </row>
    <row r="18" spans="1:12" x14ac:dyDescent="0.2">
      <c r="A18" s="40">
        <v>18</v>
      </c>
      <c r="C18">
        <f>INDEX(C10:C14,A16)</f>
        <v>0.15</v>
      </c>
      <c r="E18">
        <v>90</v>
      </c>
      <c r="F18">
        <v>90</v>
      </c>
    </row>
    <row r="19" spans="1:12" x14ac:dyDescent="0.2">
      <c r="A19">
        <f>A18/100</f>
        <v>0.18</v>
      </c>
      <c r="E19">
        <v>180</v>
      </c>
      <c r="F19">
        <v>90</v>
      </c>
    </row>
    <row r="20" spans="1:12" x14ac:dyDescent="0.2">
      <c r="E20">
        <v>180</v>
      </c>
      <c r="F20">
        <v>180</v>
      </c>
    </row>
    <row r="21" spans="1:12" x14ac:dyDescent="0.2">
      <c r="A21" t="s">
        <v>202</v>
      </c>
      <c r="E21">
        <v>270</v>
      </c>
      <c r="F21">
        <v>270</v>
      </c>
    </row>
    <row r="22" spans="1:12" x14ac:dyDescent="0.2">
      <c r="E22">
        <v>300</v>
      </c>
      <c r="F22">
        <v>300</v>
      </c>
    </row>
    <row r="23" spans="1:12" x14ac:dyDescent="0.2">
      <c r="E23">
        <f>L8</f>
        <v>280</v>
      </c>
      <c r="F23">
        <f>E23</f>
        <v>280</v>
      </c>
    </row>
    <row r="26" spans="1:12" x14ac:dyDescent="0.2">
      <c r="A26" s="40">
        <v>1</v>
      </c>
      <c r="F26">
        <f>INDEX(F28:F29,A26)</f>
        <v>1</v>
      </c>
    </row>
    <row r="28" spans="1:12" ht="14.25" x14ac:dyDescent="0.2">
      <c r="A28" t="s">
        <v>513</v>
      </c>
      <c r="B28" t="s">
        <v>514</v>
      </c>
      <c r="C28" t="s">
        <v>515</v>
      </c>
      <c r="F28">
        <v>1</v>
      </c>
    </row>
    <row r="29" spans="1:12" ht="14.25" x14ac:dyDescent="0.2">
      <c r="A29" t="s">
        <v>282</v>
      </c>
      <c r="B29" t="s">
        <v>283</v>
      </c>
      <c r="C29" t="s">
        <v>516</v>
      </c>
      <c r="F29">
        <f>1/3.6</f>
        <v>0.27777777777777779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B1:M41"/>
  <sheetViews>
    <sheetView workbookViewId="0">
      <selection activeCell="D4" sqref="D4"/>
    </sheetView>
  </sheetViews>
  <sheetFormatPr baseColWidth="10" defaultColWidth="9.140625" defaultRowHeight="12.75" x14ac:dyDescent="0.2"/>
  <sheetData>
    <row r="1" spans="2:13" ht="13.5" thickBot="1" x14ac:dyDescent="0.25">
      <c r="D1" t="s">
        <v>36</v>
      </c>
      <c r="E1" t="s">
        <v>37</v>
      </c>
      <c r="F1" t="s">
        <v>38</v>
      </c>
      <c r="K1" t="s">
        <v>36</v>
      </c>
      <c r="L1" t="s">
        <v>37</v>
      </c>
      <c r="M1" t="s">
        <v>38</v>
      </c>
    </row>
    <row r="2" spans="2:13" ht="13.5" thickBot="1" x14ac:dyDescent="0.25">
      <c r="C2" t="s">
        <v>20</v>
      </c>
      <c r="D2" s="17">
        <f>'VSR-Dimensionerung'!E34/'ventiduct-parameter'!$F$26</f>
        <v>50</v>
      </c>
      <c r="E2" s="17">
        <f>'VSR-Dimensionerung'!F34/'ventiduct-parameter'!$F$26</f>
        <v>50</v>
      </c>
      <c r="F2" s="17">
        <f>'VSR-Dimensionerung'!G34/'ventiduct-parameter'!$F$26</f>
        <v>50</v>
      </c>
      <c r="H2" t="s">
        <v>54</v>
      </c>
      <c r="K2" s="3">
        <f>'VSR-Dimensionerung'!$D$20-'VSR-Dimensionerung'!$D$19+'VSR-Dimensionerung'!E39/2-D3/1000</f>
        <v>1.2499999999999998</v>
      </c>
      <c r="L2" s="3">
        <f>'VSR-Dimensionerung'!$D$20-'VSR-Dimensionerung'!$D$19+'VSR-Dimensionerung'!F39/2-E3/1000</f>
        <v>1.2999999999999998</v>
      </c>
      <c r="M2" s="3">
        <f>'VSR-Dimensionerung'!$D$20-'VSR-Dimensionerung'!$D$19+'VSR-Dimensionerung'!G39/2-F3/1000</f>
        <v>1.2499999999999998</v>
      </c>
    </row>
    <row r="3" spans="2:13" x14ac:dyDescent="0.2">
      <c r="C3" t="s">
        <v>2</v>
      </c>
      <c r="D3">
        <f>'ventiduct-parameter'!J7</f>
        <v>250</v>
      </c>
      <c r="E3" s="4">
        <f>'ventiduct-parameter'!K7</f>
        <v>200</v>
      </c>
      <c r="F3">
        <f>'ventiduct-parameter'!L7</f>
        <v>250</v>
      </c>
      <c r="H3" t="s">
        <v>45</v>
      </c>
      <c r="J3" s="6"/>
      <c r="K3">
        <f>'Beregning ex1-3'!D15</f>
        <v>1</v>
      </c>
      <c r="L3">
        <f>'Beregning ex1-3'!E15</f>
        <v>1</v>
      </c>
      <c r="M3">
        <f>'Beregning ex1-3'!F15</f>
        <v>1</v>
      </c>
    </row>
    <row r="4" spans="2:13" x14ac:dyDescent="0.2">
      <c r="C4" t="s">
        <v>4</v>
      </c>
      <c r="D4" t="str">
        <f>'ventiduct-parameter'!J9</f>
        <v>90°</v>
      </c>
      <c r="E4" s="4" t="str">
        <f>'ventiduct-parameter'!K9</f>
        <v>180°</v>
      </c>
      <c r="F4" t="str">
        <f>'ventiduct-parameter'!L9</f>
        <v>300°</v>
      </c>
      <c r="H4" t="s">
        <v>44</v>
      </c>
      <c r="J4" s="6"/>
      <c r="K4" s="1">
        <f>'Beregning ex1-3'!D14</f>
        <v>1.0680000000000001</v>
      </c>
      <c r="L4" s="1">
        <f>'Beregning ex1-3'!E14</f>
        <v>1.06</v>
      </c>
      <c r="M4" s="1">
        <f>'Beregning ex1-3'!F14</f>
        <v>1.0680000000000001</v>
      </c>
    </row>
    <row r="5" spans="2:13" x14ac:dyDescent="0.2">
      <c r="C5" t="s">
        <v>39</v>
      </c>
      <c r="D5">
        <f>'ventiduct-parameter'!J10</f>
        <v>90</v>
      </c>
      <c r="E5" s="4">
        <f>'ventiduct-parameter'!K10</f>
        <v>180</v>
      </c>
      <c r="F5">
        <f>'ventiduct-parameter'!L10</f>
        <v>300</v>
      </c>
      <c r="H5" t="s">
        <v>71</v>
      </c>
      <c r="J5" s="6"/>
      <c r="K5" s="1">
        <f>'Beregning ex1-3'!D30</f>
        <v>0.81499999999999995</v>
      </c>
      <c r="L5" s="1">
        <f>'Beregning ex1-3'!E30</f>
        <v>0.79999999999999993</v>
      </c>
      <c r="M5" s="1">
        <f>'Beregning ex1-3'!F30</f>
        <v>0.81499999999999995</v>
      </c>
    </row>
    <row r="6" spans="2:13" ht="13.5" thickBot="1" x14ac:dyDescent="0.25">
      <c r="C6" t="s">
        <v>40</v>
      </c>
      <c r="D6">
        <f>'ventiduct-parameter'!J11</f>
        <v>90</v>
      </c>
      <c r="E6">
        <f>'ventiduct-parameter'!K11</f>
        <v>180</v>
      </c>
      <c r="F6">
        <f>'ventiduct-parameter'!L11</f>
        <v>300</v>
      </c>
      <c r="H6" t="s">
        <v>76</v>
      </c>
      <c r="J6" s="6"/>
      <c r="K6" s="1">
        <f>'Beregning ex1-3'!D31</f>
        <v>1.4000000000000001</v>
      </c>
      <c r="L6" s="1">
        <f>'Beregning ex1-3'!E31</f>
        <v>1.4000000000000001</v>
      </c>
      <c r="M6" s="1">
        <f>'Beregning ex1-3'!F31</f>
        <v>1.4000000000000001</v>
      </c>
    </row>
    <row r="7" spans="2:13" ht="13.5" thickBot="1" x14ac:dyDescent="0.25">
      <c r="H7" t="s">
        <v>58</v>
      </c>
      <c r="J7" s="6"/>
      <c r="K7" s="7">
        <v>5</v>
      </c>
      <c r="L7" s="7">
        <v>0.2</v>
      </c>
      <c r="M7" s="8">
        <v>0.2</v>
      </c>
    </row>
    <row r="8" spans="2:13" x14ac:dyDescent="0.2">
      <c r="B8" t="s">
        <v>284</v>
      </c>
      <c r="D8" s="4">
        <f>D2/'VSR-Dimensionerung'!L23</f>
        <v>50</v>
      </c>
      <c r="E8" s="4">
        <f>E2/'VSR-Dimensionerung'!M23</f>
        <v>50</v>
      </c>
      <c r="F8" s="4">
        <f>F2/'VSR-Dimensionerung'!N23</f>
        <v>50</v>
      </c>
      <c r="H8" t="s">
        <v>63</v>
      </c>
      <c r="J8" s="6"/>
      <c r="K8" s="1">
        <f>'Beregning ex1-3'!D36</f>
        <v>0.25329074018984588</v>
      </c>
      <c r="L8" s="1">
        <f>'Beregning ex1-3'!E36</f>
        <v>0.36410999999999999</v>
      </c>
      <c r="M8" s="1">
        <f>'Beregning ex1-3'!F36</f>
        <v>8.8430399999999992E-2</v>
      </c>
    </row>
    <row r="9" spans="2:13" x14ac:dyDescent="0.2">
      <c r="B9" t="s">
        <v>0</v>
      </c>
      <c r="D9">
        <f>'VSR-Dimensionerung'!E35</f>
        <v>0</v>
      </c>
      <c r="E9">
        <f>'VSR-Dimensionerung'!F35</f>
        <v>0</v>
      </c>
      <c r="F9">
        <f>'VSR-Dimensionerung'!G35</f>
        <v>0</v>
      </c>
      <c r="I9" t="s">
        <v>72</v>
      </c>
      <c r="J9" s="6"/>
      <c r="K9" s="1">
        <f>'Beregning ex1-3'!D32</f>
        <v>0.41286390650944882</v>
      </c>
      <c r="L9" s="1">
        <f>'Beregning ex1-3'!E32</f>
        <v>0.29128799999999999</v>
      </c>
      <c r="M9" s="1">
        <f>'Beregning ex1-3'!F32</f>
        <v>7.2070775999999989E-2</v>
      </c>
    </row>
    <row r="10" spans="2:13" x14ac:dyDescent="0.2">
      <c r="B10" t="s">
        <v>49</v>
      </c>
      <c r="D10" s="3">
        <f>D8/(D5*D3*0.000307)</f>
        <v>7.2385088671733628</v>
      </c>
      <c r="E10" s="3">
        <f>E8/(E5*E3*0.000307)</f>
        <v>4.5240680419833517</v>
      </c>
      <c r="F10" s="3">
        <f>F8/(F5*F3*0.000307)</f>
        <v>2.1715526601520088</v>
      </c>
      <c r="I10" t="s">
        <v>41</v>
      </c>
      <c r="J10" s="6"/>
      <c r="K10" s="1">
        <f>'Beregning ex1-3'!D37</f>
        <v>0</v>
      </c>
      <c r="L10" s="1">
        <f>'Beregning ex1-3'!E37</f>
        <v>0</v>
      </c>
      <c r="M10" s="1">
        <f>'Beregning ex1-3'!F37</f>
        <v>0</v>
      </c>
    </row>
    <row r="11" spans="2:13" x14ac:dyDescent="0.2">
      <c r="I11" t="s">
        <v>64</v>
      </c>
      <c r="J11" s="6"/>
      <c r="K11" s="1">
        <f>'Beregning ex1-3'!D29</f>
        <v>0.50658148037969186</v>
      </c>
      <c r="L11" s="1">
        <f>'Beregning ex1-3'!E29</f>
        <v>0.36410999999999999</v>
      </c>
      <c r="M11" s="1">
        <f>'Beregning ex1-3'!F29</f>
        <v>8.8430399999999992E-2</v>
      </c>
    </row>
    <row r="12" spans="2:13" x14ac:dyDescent="0.2">
      <c r="I12" t="s">
        <v>50</v>
      </c>
      <c r="J12" s="6"/>
      <c r="K12" s="1">
        <f>'Beregning ex1-3'!D40</f>
        <v>0.67358920121985355</v>
      </c>
      <c r="L12" s="1">
        <f>'Beregning ex1-3'!E40</f>
        <v>0.37785000000000002</v>
      </c>
      <c r="M12" s="1">
        <f>'Beregning ex1-3'!F40</f>
        <v>9.1079999999999994E-2</v>
      </c>
    </row>
    <row r="13" spans="2:13" x14ac:dyDescent="0.2">
      <c r="B13" t="s">
        <v>42</v>
      </c>
      <c r="C13" t="s">
        <v>43</v>
      </c>
      <c r="D13">
        <f>('VSR-Dimensionerung'!$D$18-'VSR-Dimensionerung'!$D$20)*1000</f>
        <v>200.00000000000017</v>
      </c>
      <c r="E13">
        <f>('VSR-Dimensionerung'!$D$18-'VSR-Dimensionerung'!$D$20)*1000</f>
        <v>200.00000000000017</v>
      </c>
      <c r="F13">
        <f>('VSR-Dimensionerung'!$D$18-'VSR-Dimensionerung'!$D$20)*1000</f>
        <v>200.00000000000017</v>
      </c>
    </row>
    <row r="14" spans="2:13" ht="26.25" x14ac:dyDescent="0.4">
      <c r="B14" t="s">
        <v>44</v>
      </c>
      <c r="D14">
        <f>IF(D13&gt;2.5*D3,1,1.1-0.1*D13/(2.5*D3))</f>
        <v>1.0680000000000001</v>
      </c>
      <c r="E14">
        <f>IF(E13&gt;2.5*E3,1,1.1-0.1*E13/(2.5*E3))</f>
        <v>1.06</v>
      </c>
      <c r="F14">
        <f>IF(F13&gt;2.5*F3,1,1.1-0.1*F13/(2.5*F3))</f>
        <v>1.0680000000000001</v>
      </c>
      <c r="H14" s="2" t="s">
        <v>83</v>
      </c>
      <c r="J14" s="6"/>
    </row>
    <row r="15" spans="2:13" x14ac:dyDescent="0.2">
      <c r="B15" t="s">
        <v>45</v>
      </c>
      <c r="D15">
        <f>1+0.04*D9</f>
        <v>1</v>
      </c>
      <c r="E15">
        <f>1+0.04*E9</f>
        <v>1</v>
      </c>
      <c r="F15">
        <f>1+0.04*F9</f>
        <v>1</v>
      </c>
      <c r="H15" t="s">
        <v>85</v>
      </c>
      <c r="J15" s="6" t="s">
        <v>20</v>
      </c>
      <c r="K15" s="4">
        <f>'VSR-Dimensionerung'!E38*'VSR-Dimensionerung'!L21/'ventiduct-parameter'!$F$26</f>
        <v>50</v>
      </c>
      <c r="L15" s="4">
        <f>'VSR-Dimensionerung'!F38*'VSR-Dimensionerung'!M21/'ventiduct-parameter'!$F$26</f>
        <v>50</v>
      </c>
      <c r="M15" s="4">
        <f>'VSR-Dimensionerung'!G38*'VSR-Dimensionerung'!N21/'ventiduct-parameter'!$F$26</f>
        <v>50</v>
      </c>
    </row>
    <row r="16" spans="2:13" x14ac:dyDescent="0.2">
      <c r="B16" t="s">
        <v>46</v>
      </c>
      <c r="D16" s="3">
        <f>-0.0001*D6^2-0.0033*D6+16.2</f>
        <v>15.093</v>
      </c>
      <c r="E16" s="3">
        <f>-0.0001*E6^2-0.0033*E6+16.2</f>
        <v>12.366</v>
      </c>
      <c r="F16" s="3">
        <f>-0.0001*F6^2-0.0033*F6+16.2</f>
        <v>6.2099999999999991</v>
      </c>
      <c r="H16" t="s">
        <v>86</v>
      </c>
      <c r="J16" s="6" t="s">
        <v>87</v>
      </c>
      <c r="K16" s="3">
        <f>K15/3600/'ventiduct-parameter'!J14</f>
        <v>0.28294212105225836</v>
      </c>
      <c r="L16" s="3">
        <f>L15/3600/'ventiduct-parameter'!K14</f>
        <v>0.44209706414415367</v>
      </c>
      <c r="M16" s="3">
        <f>M15/3600/'ventiduct-parameter'!L14</f>
        <v>0.28294212105225836</v>
      </c>
    </row>
    <row r="17" spans="2:13" x14ac:dyDescent="0.2">
      <c r="B17" t="s">
        <v>47</v>
      </c>
      <c r="D17" s="1">
        <f>(D6-90)/90*4*D3/1000</f>
        <v>0</v>
      </c>
      <c r="E17" s="1">
        <f>(E6-90)/90*4*E3/1000</f>
        <v>0.8</v>
      </c>
      <c r="F17" s="1">
        <f>(F6-90)/90*4*F3/1000</f>
        <v>2.3333333333333335</v>
      </c>
      <c r="J17" s="6"/>
    </row>
    <row r="18" spans="2:13" x14ac:dyDescent="0.2">
      <c r="B18" t="s">
        <v>75</v>
      </c>
      <c r="D18" s="1">
        <f>D17+D3/400</f>
        <v>0.625</v>
      </c>
      <c r="E18" s="1">
        <f>E17+E3/400</f>
        <v>1.3</v>
      </c>
      <c r="F18" s="1">
        <f>F17+F3/400</f>
        <v>2.9583333333333335</v>
      </c>
      <c r="I18" t="s">
        <v>89</v>
      </c>
      <c r="J18" s="6" t="s">
        <v>90</v>
      </c>
      <c r="K18" s="3">
        <f>'ventiduct-parameter'!J17+101*LOG('VSR-Dimensionerung'!L21/'ventiduct-parameter'!$F$26)+10*LOG('VSR-Dimensionerung'!E38)</f>
        <v>15.547361289803888</v>
      </c>
      <c r="L18" s="3">
        <f>'ventiduct-parameter'!K17+101*LOG('VSR-Dimensionerung'!M21/'ventiduct-parameter'!$F$26)+10*LOG('VSR-Dimensionerung'!F38)</f>
        <v>-3.0275571318852315</v>
      </c>
      <c r="M18" s="3">
        <f>'ventiduct-parameter'!L17+101*LOG('VSR-Dimensionerung'!N21/'ventiduct-parameter'!$F$26)+10*LOG('VSR-Dimensionerung'!G38)</f>
        <v>-32.034604530706844</v>
      </c>
    </row>
    <row r="19" spans="2:13" ht="13.5" thickBot="1" x14ac:dyDescent="0.25">
      <c r="B19" t="s">
        <v>48</v>
      </c>
      <c r="D19" s="1">
        <f>D8/(D3*D5)*D16*20</f>
        <v>0.67080000000000006</v>
      </c>
      <c r="E19" s="1">
        <f>E8/(E3*E5)*E16*20</f>
        <v>0.34349999999999997</v>
      </c>
      <c r="F19" s="1">
        <f>F8/(F3*F5)*F16*20</f>
        <v>8.2799999999999985E-2</v>
      </c>
      <c r="I19" t="s">
        <v>95</v>
      </c>
      <c r="J19" s="6" t="s">
        <v>90</v>
      </c>
      <c r="K19" s="3">
        <f>2 + 60*LOG(K16)</f>
        <v>-30.898143708490906</v>
      </c>
      <c r="L19" s="3">
        <f>2 + 60*LOG(L16)</f>
        <v>-19.268942147524143</v>
      </c>
      <c r="M19" s="3">
        <f>2 + 60*LOG(M16)</f>
        <v>-30.898143708490906</v>
      </c>
    </row>
    <row r="20" spans="2:13" ht="13.5" thickBot="1" x14ac:dyDescent="0.25">
      <c r="H20" s="10" t="s">
        <v>96</v>
      </c>
      <c r="I20" s="11"/>
      <c r="J20" s="12" t="s">
        <v>90</v>
      </c>
      <c r="K20" s="13">
        <f>10*LOG(10^(K18/10)+10^(K19/10))</f>
        <v>15.547459742789055</v>
      </c>
      <c r="L20" s="13">
        <f>10*LOG(10^(L18/10)+10^(L19/10))</f>
        <v>-2.9255720667175926</v>
      </c>
      <c r="M20" s="14">
        <f>10*LOG(10^(M18/10)+10^(M19/10))</f>
        <v>-28.419006142723823</v>
      </c>
    </row>
    <row r="21" spans="2:13" x14ac:dyDescent="0.2">
      <c r="B21" t="s">
        <v>79</v>
      </c>
      <c r="D21" s="1">
        <f>0.0025*D9^0.5/D8^0.5*D3</f>
        <v>0</v>
      </c>
      <c r="E21" s="1">
        <f>0.0025*E9^0.5/E8^0.5*E3</f>
        <v>0</v>
      </c>
      <c r="F21" s="1">
        <f>0.0025*F9^0.5/F8^0.5*F3</f>
        <v>0</v>
      </c>
      <c r="H21" s="1"/>
    </row>
    <row r="22" spans="2:13" x14ac:dyDescent="0.2">
      <c r="B22" t="s">
        <v>56</v>
      </c>
      <c r="D22" s="1">
        <f>IF(D23&gt;D18,D8/(D3^0.5*D5*(D23-D17)^0.5)*D16,D19)</f>
        <v>0.61235381929077592</v>
      </c>
      <c r="E22" s="1">
        <f>IF(E23&gt;E18,E8/(E3^0.5*E5*(E23-E17)^0.5)*E16,E19)</f>
        <v>0.34349999999999997</v>
      </c>
      <c r="F22" s="1">
        <f>IF(F23&gt;F18,F8/(F3^0.5*F5*(F23-F17)^0.5)*F16,F19)</f>
        <v>8.2799999999999985E-2</v>
      </c>
      <c r="H22" t="s">
        <v>325</v>
      </c>
      <c r="I22">
        <v>0.68</v>
      </c>
      <c r="J22" t="s">
        <v>326</v>
      </c>
      <c r="K22" s="3">
        <f>$I$22*D10^2</f>
        <v>35.629287221700238</v>
      </c>
      <c r="L22" s="3">
        <f>$I$22*E10^2</f>
        <v>13.917690320976654</v>
      </c>
      <c r="M22" s="3">
        <f>$I$22*F10^2</f>
        <v>3.2066358499530208</v>
      </c>
    </row>
    <row r="23" spans="2:13" x14ac:dyDescent="0.2">
      <c r="B23" t="s">
        <v>55</v>
      </c>
      <c r="D23">
        <f>'VSR-Dimensionerung'!$D$20-'VSR-Dimensionerung'!$D$19-D3/1000</f>
        <v>0.74999999999999978</v>
      </c>
      <c r="E23">
        <f>'VSR-Dimensionerung'!$D$20-'VSR-Dimensionerung'!$D$19-E3/1000</f>
        <v>0.79999999999999982</v>
      </c>
      <c r="F23">
        <f>'VSR-Dimensionerung'!$D$20-'VSR-Dimensionerung'!$D$19-F3/1000</f>
        <v>0.74999999999999978</v>
      </c>
      <c r="H23" t="s">
        <v>327</v>
      </c>
      <c r="J23" t="s">
        <v>326</v>
      </c>
      <c r="K23" s="3">
        <f>0.6*K16^2</f>
        <v>4.8033746319330495E-2</v>
      </c>
      <c r="L23" s="3">
        <f>0.6*L16^2</f>
        <v>0.11726988847492796</v>
      </c>
      <c r="M23" s="3">
        <f>0.6*M16^2</f>
        <v>4.8033746319330495E-2</v>
      </c>
    </row>
    <row r="24" spans="2:13" x14ac:dyDescent="0.2">
      <c r="H24" t="s">
        <v>328</v>
      </c>
      <c r="J24" t="s">
        <v>326</v>
      </c>
      <c r="K24" s="3">
        <f>K22+K23</f>
        <v>35.677320968019572</v>
      </c>
      <c r="L24" s="3">
        <f>L22+L23</f>
        <v>14.034960209451581</v>
      </c>
      <c r="M24" s="3">
        <f>M22+M23</f>
        <v>3.2546695962723513</v>
      </c>
    </row>
    <row r="25" spans="2:13" x14ac:dyDescent="0.2">
      <c r="B25" t="s">
        <v>51</v>
      </c>
      <c r="D25">
        <f>'Beregning ex1-3'!K7</f>
        <v>5</v>
      </c>
      <c r="E25">
        <f>'Beregning ex1-3'!L7</f>
        <v>0.2</v>
      </c>
      <c r="F25">
        <f>'Beregning ex1-3'!M7</f>
        <v>0.2</v>
      </c>
    </row>
    <row r="26" spans="2:13" x14ac:dyDescent="0.2">
      <c r="B26" t="s">
        <v>52</v>
      </c>
      <c r="D26">
        <f>'Beregning ex1-3'!K2</f>
        <v>1.2499999999999998</v>
      </c>
      <c r="E26">
        <f>'Beregning ex1-3'!L2</f>
        <v>1.2999999999999998</v>
      </c>
      <c r="F26">
        <f>'Beregning ex1-3'!M2</f>
        <v>1.2499999999999998</v>
      </c>
    </row>
    <row r="27" spans="2:13" x14ac:dyDescent="0.2">
      <c r="B27" t="s">
        <v>77</v>
      </c>
      <c r="D27" s="1">
        <f>1.6-'VSR-Dimensionerung'!E39*0.2</f>
        <v>1.4000000000000001</v>
      </c>
      <c r="E27" s="1">
        <f>1.6-'VSR-Dimensionerung'!F39*0.2</f>
        <v>1.4000000000000001</v>
      </c>
      <c r="F27" s="1">
        <f>1.6-'VSR-Dimensionerung'!G39*0.2</f>
        <v>1.4000000000000001</v>
      </c>
    </row>
    <row r="28" spans="2:13" x14ac:dyDescent="0.2">
      <c r="B28" t="s">
        <v>59</v>
      </c>
      <c r="D28" s="1">
        <f>IF(D26&gt;D18,D8/(D3^0.5*D5*(D26-D17)^0.5)*D16,D19)</f>
        <v>0.47432722881993622</v>
      </c>
      <c r="E28" s="1">
        <f>IF(E26&gt;E18,E8/(E3^0.5*E5*(E26-E17)^0.5)*E16,E19)</f>
        <v>0.34349999999999997</v>
      </c>
      <c r="F28" s="1">
        <f>IF(F26&gt;F18,F8/(F3^0.5*F5*(F26-F17)^0.5)*F16,F19)</f>
        <v>8.2799999999999985E-2</v>
      </c>
    </row>
    <row r="29" spans="2:13" x14ac:dyDescent="0.2">
      <c r="B29" t="s">
        <v>60</v>
      </c>
      <c r="D29" s="1">
        <f>D28*D14*D15</f>
        <v>0.50658148037969186</v>
      </c>
      <c r="E29" s="1">
        <f>E28*E14*E15</f>
        <v>0.36410999999999999</v>
      </c>
      <c r="F29" s="1">
        <f>F28*F14*F15</f>
        <v>8.8430399999999992E-2</v>
      </c>
    </row>
    <row r="30" spans="2:13" x14ac:dyDescent="0.2">
      <c r="B30" t="s">
        <v>71</v>
      </c>
      <c r="D30" s="1">
        <f>0.8-(D13-D3)/D3*0.075</f>
        <v>0.81499999999999995</v>
      </c>
      <c r="E30" s="1">
        <f>0.8-(E13-E3)/E3*0.075</f>
        <v>0.79999999999999993</v>
      </c>
      <c r="F30" s="1">
        <f>0.8-(F13-F3)/F3*0.075</f>
        <v>0.81499999999999995</v>
      </c>
    </row>
    <row r="31" spans="2:13" x14ac:dyDescent="0.2">
      <c r="B31" t="s">
        <v>74</v>
      </c>
      <c r="D31">
        <f>IF(D27&gt;=1,D27,1)</f>
        <v>1.4000000000000001</v>
      </c>
      <c r="E31">
        <f>IF(E27&gt;=1,E27,1)</f>
        <v>1.4000000000000001</v>
      </c>
      <c r="F31">
        <f>IF(F27&gt;=1,F27,1)</f>
        <v>1.4000000000000001</v>
      </c>
    </row>
    <row r="32" spans="2:13" x14ac:dyDescent="0.2">
      <c r="B32" t="s">
        <v>70</v>
      </c>
      <c r="D32" s="1">
        <f>D29*D30</f>
        <v>0.41286390650944882</v>
      </c>
      <c r="E32" s="1">
        <f>E29*E30</f>
        <v>0.29128799999999999</v>
      </c>
      <c r="F32" s="1">
        <f>F29*F30</f>
        <v>7.2070775999999989E-2</v>
      </c>
    </row>
    <row r="33" spans="2:6" x14ac:dyDescent="0.2">
      <c r="D33" s="1"/>
      <c r="E33" s="1"/>
      <c r="F33" s="1"/>
    </row>
    <row r="35" spans="2:6" x14ac:dyDescent="0.2">
      <c r="B35" t="s">
        <v>61</v>
      </c>
      <c r="D35" s="1">
        <f>IF(D25&gt;D18,D8/(D3^0.5*D5*(D25-D17)^0.5)*D16,D19)</f>
        <v>0.23716361440996805</v>
      </c>
      <c r="E35" s="1">
        <f>IF(E25&gt;E18,E8/(E3^0.5*E5*(E25-E17)^0.5)*E16,E19)</f>
        <v>0.34349999999999997</v>
      </c>
      <c r="F35" s="1">
        <f>IF(F25&gt;F18,F8/(F3^0.5*F5*(F25-F17)^0.5)*F16,F19)</f>
        <v>8.2799999999999985E-2</v>
      </c>
    </row>
    <row r="36" spans="2:6" x14ac:dyDescent="0.2">
      <c r="B36" t="s">
        <v>62</v>
      </c>
      <c r="D36" s="1">
        <f>D35*D14*D15</f>
        <v>0.25329074018984588</v>
      </c>
      <c r="E36" s="1">
        <f>E35*E14*E15</f>
        <v>0.36410999999999999</v>
      </c>
      <c r="F36" s="1">
        <f>F35*F14*F15</f>
        <v>8.8430399999999992E-2</v>
      </c>
    </row>
    <row r="37" spans="2:6" x14ac:dyDescent="0.2">
      <c r="B37" t="s">
        <v>41</v>
      </c>
      <c r="D37" s="1">
        <f>0.00013*D9^0.5*(D3*D5)^0.6*D31</f>
        <v>0</v>
      </c>
      <c r="E37" s="1">
        <f>0.00013*E9^0.5*(E3*E5)^0.6*E31</f>
        <v>0</v>
      </c>
      <c r="F37" s="1">
        <f>0.00013*F9^0.5*(F3*F5)^0.6*F31</f>
        <v>0</v>
      </c>
    </row>
    <row r="39" spans="2:6" x14ac:dyDescent="0.2">
      <c r="B39" t="s">
        <v>73</v>
      </c>
      <c r="D39" s="1">
        <f>MAX(D37,D32)</f>
        <v>0.41286390650944882</v>
      </c>
      <c r="E39" s="1">
        <f>MAX(E37,E32)</f>
        <v>0.29128799999999999</v>
      </c>
      <c r="F39" s="1">
        <f>MAX(F37,F32)</f>
        <v>7.2070775999999989E-2</v>
      </c>
    </row>
    <row r="40" spans="2:6" x14ac:dyDescent="0.2">
      <c r="B40" t="s">
        <v>57</v>
      </c>
      <c r="D40" s="1">
        <f>D21+1.1*D22</f>
        <v>0.67358920121985355</v>
      </c>
      <c r="E40" s="1">
        <f>E21+1.1*E22</f>
        <v>0.37785000000000002</v>
      </c>
      <c r="F40" s="1">
        <f>F21+1.1*F22</f>
        <v>9.1079999999999994E-2</v>
      </c>
    </row>
    <row r="41" spans="2:6" x14ac:dyDescent="0.2">
      <c r="B41" t="s">
        <v>65</v>
      </c>
      <c r="D41" s="1">
        <f>MAX(D29,D37)</f>
        <v>0.50658148037969186</v>
      </c>
      <c r="E41" s="1">
        <f>MAX(E29,E37)</f>
        <v>0.36410999999999999</v>
      </c>
      <c r="F41" s="1">
        <f>MAX(F29,F37)</f>
        <v>8.8430399999999992E-2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B3:L25"/>
  <sheetViews>
    <sheetView workbookViewId="0">
      <selection activeCell="I30" sqref="I30"/>
    </sheetView>
  </sheetViews>
  <sheetFormatPr baseColWidth="10" defaultColWidth="9.140625" defaultRowHeight="12.75" x14ac:dyDescent="0.2"/>
  <sheetData>
    <row r="3" spans="2:12" x14ac:dyDescent="0.2">
      <c r="H3" t="s">
        <v>47</v>
      </c>
    </row>
    <row r="5" spans="2:12" x14ac:dyDescent="0.2">
      <c r="B5" t="s">
        <v>2</v>
      </c>
      <c r="C5">
        <v>90</v>
      </c>
      <c r="D5">
        <v>180</v>
      </c>
      <c r="E5">
        <v>270</v>
      </c>
      <c r="F5">
        <v>300</v>
      </c>
      <c r="H5" t="s">
        <v>2</v>
      </c>
      <c r="I5">
        <v>90</v>
      </c>
      <c r="J5">
        <v>180</v>
      </c>
      <c r="K5">
        <v>270</v>
      </c>
      <c r="L5">
        <v>300</v>
      </c>
    </row>
    <row r="6" spans="2:12" x14ac:dyDescent="0.2">
      <c r="B6">
        <v>200</v>
      </c>
      <c r="C6" s="3">
        <f>91*LOG($B6*C$5)</f>
        <v>387.22979796440086</v>
      </c>
      <c r="D6" s="3">
        <f t="shared" ref="D6:F10" si="0">91*LOG($B6*D$5)</f>
        <v>414.62352756982312</v>
      </c>
      <c r="E6" s="3">
        <f t="shared" si="0"/>
        <v>430.64783214389013</v>
      </c>
      <c r="F6" s="3">
        <f t="shared" si="0"/>
        <v>434.81176378491159</v>
      </c>
      <c r="H6">
        <v>200</v>
      </c>
      <c r="I6" s="3">
        <f t="shared" ref="I6:J10" si="1">240-C6</f>
        <v>-147.22979796440086</v>
      </c>
      <c r="J6" s="3">
        <f t="shared" si="1"/>
        <v>-174.62352756982312</v>
      </c>
      <c r="K6" s="3">
        <f t="shared" ref="K6:L10" si="2">240-E6</f>
        <v>-190.64783214389013</v>
      </c>
      <c r="L6" s="3">
        <f t="shared" si="2"/>
        <v>-194.81176378491159</v>
      </c>
    </row>
    <row r="7" spans="2:12" x14ac:dyDescent="0.2">
      <c r="B7">
        <v>250</v>
      </c>
      <c r="C7" s="3">
        <f>91*LOG($B7*C$5)</f>
        <v>396.04860914813401</v>
      </c>
      <c r="D7" s="3">
        <f t="shared" si="0"/>
        <v>423.44233875355633</v>
      </c>
      <c r="E7" s="3">
        <f t="shared" si="0"/>
        <v>439.46664332762327</v>
      </c>
      <c r="F7" s="3">
        <f t="shared" si="0"/>
        <v>443.63057496864474</v>
      </c>
      <c r="H7">
        <v>250</v>
      </c>
      <c r="I7" s="3">
        <f t="shared" si="1"/>
        <v>-156.04860914813401</v>
      </c>
      <c r="J7" s="3">
        <f t="shared" si="1"/>
        <v>-183.44233875355633</v>
      </c>
      <c r="K7" s="3">
        <f t="shared" si="2"/>
        <v>-199.46664332762327</v>
      </c>
      <c r="L7" s="3">
        <f t="shared" si="2"/>
        <v>-203.63057496864474</v>
      </c>
    </row>
    <row r="8" spans="2:12" x14ac:dyDescent="0.2">
      <c r="B8">
        <v>315</v>
      </c>
      <c r="C8" s="3">
        <f>91*LOG($B8*C$5)</f>
        <v>405.18232875383217</v>
      </c>
      <c r="D8" s="3">
        <f t="shared" si="0"/>
        <v>432.57605835925449</v>
      </c>
      <c r="E8" s="3">
        <f t="shared" si="0"/>
        <v>448.60036293332149</v>
      </c>
      <c r="F8" s="3">
        <f t="shared" si="0"/>
        <v>452.7642945743429</v>
      </c>
      <c r="H8">
        <v>315</v>
      </c>
      <c r="I8" s="3">
        <f t="shared" si="1"/>
        <v>-165.18232875383217</v>
      </c>
      <c r="J8" s="3">
        <f t="shared" si="1"/>
        <v>-192.57605835925449</v>
      </c>
      <c r="K8" s="3">
        <f t="shared" si="2"/>
        <v>-208.60036293332149</v>
      </c>
      <c r="L8" s="3">
        <f t="shared" si="2"/>
        <v>-212.7642945743429</v>
      </c>
    </row>
    <row r="9" spans="2:12" x14ac:dyDescent="0.2">
      <c r="B9">
        <v>400</v>
      </c>
      <c r="C9" s="3">
        <f>91*LOG($B9*C$5)</f>
        <v>414.62352756982312</v>
      </c>
      <c r="D9" s="3">
        <f t="shared" si="0"/>
        <v>442.01725717524539</v>
      </c>
      <c r="E9" s="3">
        <f t="shared" si="0"/>
        <v>458.04156174931239</v>
      </c>
      <c r="F9" s="3">
        <f t="shared" si="0"/>
        <v>462.20549339033391</v>
      </c>
      <c r="H9">
        <v>400</v>
      </c>
      <c r="I9" s="3">
        <f t="shared" si="1"/>
        <v>-174.62352756982312</v>
      </c>
      <c r="J9" s="3">
        <f t="shared" si="1"/>
        <v>-202.01725717524539</v>
      </c>
      <c r="K9" s="3">
        <f t="shared" si="2"/>
        <v>-218.04156174931239</v>
      </c>
      <c r="L9" s="3">
        <f t="shared" si="2"/>
        <v>-222.20549339033391</v>
      </c>
    </row>
    <row r="10" spans="2:12" x14ac:dyDescent="0.2">
      <c r="B10">
        <v>500</v>
      </c>
      <c r="C10" s="3">
        <f>91*LOG($B10*C$5)</f>
        <v>423.44233875355633</v>
      </c>
      <c r="D10" s="3">
        <f t="shared" si="0"/>
        <v>450.83606835897859</v>
      </c>
      <c r="E10" s="3">
        <f t="shared" si="0"/>
        <v>466.8603729330456</v>
      </c>
      <c r="F10" s="3">
        <f t="shared" si="0"/>
        <v>471.024304574067</v>
      </c>
      <c r="H10">
        <v>500</v>
      </c>
      <c r="I10" s="3">
        <f t="shared" si="1"/>
        <v>-183.44233875355633</v>
      </c>
      <c r="J10" s="3">
        <f t="shared" si="1"/>
        <v>-210.83606835897859</v>
      </c>
      <c r="K10" s="3">
        <f t="shared" si="2"/>
        <v>-226.8603729330456</v>
      </c>
      <c r="L10" s="3">
        <f t="shared" si="2"/>
        <v>-231.024304574067</v>
      </c>
    </row>
    <row r="12" spans="2:12" x14ac:dyDescent="0.2">
      <c r="B12" t="s">
        <v>80</v>
      </c>
      <c r="C12" s="4">
        <f>91*LOG(C5)</f>
        <v>177.83606835897857</v>
      </c>
      <c r="D12" s="4">
        <f>91*LOG(D5)</f>
        <v>205.22979796440086</v>
      </c>
      <c r="E12" s="4">
        <f>91*LOG(E5)</f>
        <v>221.25410253846786</v>
      </c>
      <c r="F12" s="4">
        <f>91*LOG(F5)</f>
        <v>225.4180341794893</v>
      </c>
    </row>
    <row r="14" spans="2:12" x14ac:dyDescent="0.2">
      <c r="B14" t="s">
        <v>81</v>
      </c>
      <c r="C14" s="4">
        <f>C12-$F$12</f>
        <v>-47.581965820510732</v>
      </c>
      <c r="D14" s="4">
        <f>D12-$F$12</f>
        <v>-20.188236215088438</v>
      </c>
      <c r="E14" s="4">
        <f>E12-$F$12</f>
        <v>-4.1639316410214349</v>
      </c>
      <c r="F14" s="4">
        <f>F12-$F$12</f>
        <v>0</v>
      </c>
    </row>
    <row r="17" spans="2:12" x14ac:dyDescent="0.2">
      <c r="I17">
        <v>6.1</v>
      </c>
    </row>
    <row r="18" spans="2:12" x14ac:dyDescent="0.2">
      <c r="B18" t="s">
        <v>82</v>
      </c>
    </row>
    <row r="19" spans="2:12" x14ac:dyDescent="0.2">
      <c r="B19" t="s">
        <v>2</v>
      </c>
      <c r="C19">
        <v>90</v>
      </c>
      <c r="D19">
        <v>180</v>
      </c>
      <c r="E19">
        <v>270</v>
      </c>
      <c r="F19">
        <v>300</v>
      </c>
      <c r="H19" t="s">
        <v>2</v>
      </c>
      <c r="I19">
        <v>90</v>
      </c>
      <c r="J19">
        <v>180</v>
      </c>
      <c r="K19">
        <v>270</v>
      </c>
      <c r="L19">
        <v>300</v>
      </c>
    </row>
    <row r="20" spans="2:12" x14ac:dyDescent="0.2">
      <c r="B20">
        <v>200</v>
      </c>
      <c r="C20" s="4">
        <v>14</v>
      </c>
      <c r="D20" s="4">
        <v>7</v>
      </c>
      <c r="E20" s="4">
        <v>5</v>
      </c>
      <c r="F20" s="4">
        <v>4</v>
      </c>
      <c r="H20">
        <v>200</v>
      </c>
      <c r="I20" s="4">
        <f>$I$17*$H20/I$19</f>
        <v>13.555555555555555</v>
      </c>
      <c r="J20" s="4">
        <f t="shared" ref="J20:L24" si="3">$I$17*$H20/J$19</f>
        <v>6.7777777777777777</v>
      </c>
      <c r="K20" s="4">
        <f t="shared" si="3"/>
        <v>4.5185185185185182</v>
      </c>
      <c r="L20" s="4">
        <f t="shared" si="3"/>
        <v>4.0666666666666664</v>
      </c>
    </row>
    <row r="21" spans="2:12" x14ac:dyDescent="0.2">
      <c r="B21">
        <v>250</v>
      </c>
      <c r="C21" s="4">
        <v>17</v>
      </c>
      <c r="D21" s="4">
        <v>8</v>
      </c>
      <c r="E21" s="4">
        <v>6</v>
      </c>
      <c r="F21" s="4">
        <v>5</v>
      </c>
      <c r="H21">
        <v>250</v>
      </c>
      <c r="I21" s="4">
        <f>$I$17*$H21/I$19</f>
        <v>16.944444444444443</v>
      </c>
      <c r="J21" s="4">
        <f t="shared" si="3"/>
        <v>8.4722222222222214</v>
      </c>
      <c r="K21" s="4">
        <f t="shared" si="3"/>
        <v>5.6481481481481479</v>
      </c>
      <c r="L21" s="4">
        <f t="shared" si="3"/>
        <v>5.083333333333333</v>
      </c>
    </row>
    <row r="22" spans="2:12" x14ac:dyDescent="0.2">
      <c r="B22">
        <v>315</v>
      </c>
      <c r="C22" s="4">
        <v>21</v>
      </c>
      <c r="D22" s="4">
        <v>11</v>
      </c>
      <c r="E22" s="4">
        <v>7</v>
      </c>
      <c r="F22" s="4">
        <v>6</v>
      </c>
      <c r="H22">
        <v>315</v>
      </c>
      <c r="I22" s="4">
        <f>$I$17*$H22/I$19</f>
        <v>21.35</v>
      </c>
      <c r="J22" s="4">
        <f t="shared" si="3"/>
        <v>10.675000000000001</v>
      </c>
      <c r="K22" s="4">
        <f t="shared" si="3"/>
        <v>7.1166666666666663</v>
      </c>
      <c r="L22" s="4">
        <f t="shared" si="3"/>
        <v>6.4050000000000002</v>
      </c>
    </row>
    <row r="23" spans="2:12" x14ac:dyDescent="0.2">
      <c r="B23">
        <v>400</v>
      </c>
      <c r="C23" s="4">
        <v>27</v>
      </c>
      <c r="D23" s="4">
        <v>14</v>
      </c>
      <c r="E23" s="4">
        <v>9</v>
      </c>
      <c r="F23" s="4">
        <v>8</v>
      </c>
      <c r="H23">
        <v>400</v>
      </c>
      <c r="I23" s="4">
        <f>$I$17*$H23/I$19</f>
        <v>27.111111111111111</v>
      </c>
      <c r="J23" s="4">
        <f t="shared" si="3"/>
        <v>13.555555555555555</v>
      </c>
      <c r="K23" s="4">
        <f t="shared" si="3"/>
        <v>9.0370370370370363</v>
      </c>
      <c r="L23" s="4">
        <f t="shared" si="3"/>
        <v>8.1333333333333329</v>
      </c>
    </row>
    <row r="24" spans="2:12" x14ac:dyDescent="0.2">
      <c r="B24">
        <v>500</v>
      </c>
      <c r="C24" s="4">
        <v>34</v>
      </c>
      <c r="D24" s="4">
        <v>17</v>
      </c>
      <c r="E24" s="4">
        <v>11</v>
      </c>
      <c r="F24" s="4">
        <v>10</v>
      </c>
      <c r="H24">
        <v>500</v>
      </c>
      <c r="I24" s="4">
        <f>$I$17*$H24/I$19</f>
        <v>33.888888888888886</v>
      </c>
      <c r="J24" s="4">
        <f t="shared" si="3"/>
        <v>16.944444444444443</v>
      </c>
      <c r="K24" s="4">
        <f t="shared" si="3"/>
        <v>11.296296296296296</v>
      </c>
      <c r="L24" s="4">
        <f t="shared" si="3"/>
        <v>10.166666666666666</v>
      </c>
    </row>
    <row r="25" spans="2:12" x14ac:dyDescent="0.2">
      <c r="I25" s="3"/>
      <c r="J25" s="3"/>
      <c r="K25" s="3"/>
      <c r="L25" s="3"/>
    </row>
  </sheetData>
  <phoneticPr fontId="0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Language</vt:lpstr>
      <vt:lpstr>VSR-Dimensionerung</vt:lpstr>
      <vt:lpstr>'VSR-Dimensionerung'!Druckbereich</vt:lpstr>
    </vt:vector>
  </TitlesOfParts>
  <Company>Lindab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Hackert</dc:creator>
  <cp:lastModifiedBy>Sabrina Ziel</cp:lastModifiedBy>
  <cp:lastPrinted>2023-08-08T13:14:01Z</cp:lastPrinted>
  <dcterms:created xsi:type="dcterms:W3CDTF">2000-01-26T17:20:00Z</dcterms:created>
  <dcterms:modified xsi:type="dcterms:W3CDTF">2023-10-25T06:34:20Z</dcterms:modified>
</cp:coreProperties>
</file>